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8" windowHeight="3228" activeTab="0"/>
  </bookViews>
  <sheets>
    <sheet name="koszt ofert" sheetId="1" r:id="rId1"/>
    <sheet name="przedmiar" sheetId="2" r:id="rId2"/>
  </sheets>
  <definedNames>
    <definedName name="_xlnm.Print_Area" localSheetId="0">'koszt ofert'!$A$1:$I$158</definedName>
    <definedName name="_xlnm.Print_Area" localSheetId="1">'przedmiar'!$A$1:$G$130</definedName>
    <definedName name="_xlnm.Print_Titles" localSheetId="0">'koszt ofert'!$2:$3</definedName>
    <definedName name="_xlnm.Print_Titles" localSheetId="1">'przedmiar'!$2:$3</definedName>
  </definedNames>
  <calcPr fullCalcOnLoad="1"/>
</workbook>
</file>

<file path=xl/sharedStrings.xml><?xml version="1.0" encoding="utf-8"?>
<sst xmlns="http://schemas.openxmlformats.org/spreadsheetml/2006/main" count="1057" uniqueCount="284">
  <si>
    <t>1</t>
  </si>
  <si>
    <t>Rozbiórka istniejącego mostu</t>
  </si>
  <si>
    <t>Roboty przygotowawcze</t>
  </si>
  <si>
    <t>Zjazdy</t>
  </si>
  <si>
    <t>nrPoz</t>
  </si>
  <si>
    <t>podst</t>
  </si>
  <si>
    <t>stwior</t>
  </si>
  <si>
    <t>opis</t>
  </si>
  <si>
    <t>jm</t>
  </si>
  <si>
    <t>ilosc</t>
  </si>
  <si>
    <t>cenaJedn</t>
  </si>
  <si>
    <t>wartosc</t>
  </si>
  <si>
    <t>Nr pozycji</t>
  </si>
  <si>
    <t>Podstawa</t>
  </si>
  <si>
    <t>Nr ST</t>
  </si>
  <si>
    <t>Opis</t>
  </si>
  <si>
    <t>Jm</t>
  </si>
  <si>
    <t>Ilość</t>
  </si>
  <si>
    <t>Cena jednost.</t>
  </si>
  <si>
    <t>Wartość</t>
  </si>
  <si>
    <t>E</t>
  </si>
  <si>
    <t>U</t>
  </si>
  <si>
    <t/>
  </si>
  <si>
    <t>m3</t>
  </si>
  <si>
    <t>m2</t>
  </si>
  <si>
    <t>m</t>
  </si>
  <si>
    <t>km</t>
  </si>
  <si>
    <t>szt.</t>
  </si>
  <si>
    <t>kpl.</t>
  </si>
  <si>
    <t>1.3</t>
  </si>
  <si>
    <t>Wytyczenie obiektu mostowego oraz obsługa geodezyjna</t>
  </si>
  <si>
    <t>obiekt</t>
  </si>
  <si>
    <t>D-01.02. 02</t>
  </si>
  <si>
    <t>Usunięcie warstwy ziemi urodzajnej (humusu) o grubości do 15 cm za pomocą koparki</t>
  </si>
  <si>
    <t>Roboty ziemne</t>
  </si>
  <si>
    <t>M-11.01. 04</t>
  </si>
  <si>
    <t>M-13.01. 00</t>
  </si>
  <si>
    <t>Deskowanie systemowe U-Form - płyty fundamentowe</t>
  </si>
  <si>
    <t>M-12.01. 00</t>
  </si>
  <si>
    <t>Przygotowanie zbrojenia na budowie fundamenty podpór</t>
  </si>
  <si>
    <t>t</t>
  </si>
  <si>
    <t>Montaż zbrojenia fundamenty podpór</t>
  </si>
  <si>
    <t>M-15.01. 02</t>
  </si>
  <si>
    <t>Izolacje przeciwwilgociowe powłokowe bitumiczne - wykonywane na zimno - pionowe z roztworu asfaltowego - pierwsza warstwa</t>
  </si>
  <si>
    <t>Płyta mostowa</t>
  </si>
  <si>
    <t>Deskowanie płytami ze sklejki bakelizowanej - płyta górna wraz z rusztowaniem</t>
  </si>
  <si>
    <t>Przygotowanie zbrojenia na budowie</t>
  </si>
  <si>
    <t>Montaż zbrojenia</t>
  </si>
  <si>
    <t>M-15.02. 03</t>
  </si>
  <si>
    <t>Izolacje przeciwwilg.z papy zgrzewalnej</t>
  </si>
  <si>
    <t>D-05.03. 05a</t>
  </si>
  <si>
    <t>M-18.01. 03a</t>
  </si>
  <si>
    <t>Urządzenie dylatacyjne szczelne bitumiczne</t>
  </si>
  <si>
    <t>Kapa chodnikowa</t>
  </si>
  <si>
    <t>M-19.01. 01a</t>
  </si>
  <si>
    <t>Przygotowanie zbrojenia na budowie kapy chodnikowe</t>
  </si>
  <si>
    <t>Montaż zbrojenia na budowie kapy chodnikowe</t>
  </si>
  <si>
    <t>Betonowanie przy użyciu pompy na samochodzie chodników - Beton C30/37</t>
  </si>
  <si>
    <t>Zabezpieczenia antykorozyjne mostu</t>
  </si>
  <si>
    <t>Zabezpieczenia antykorozyjne powierzchni betonowych</t>
  </si>
  <si>
    <t>Roboty zabezpieczające most</t>
  </si>
  <si>
    <t>M-20.01. 11g</t>
  </si>
  <si>
    <t>Spoinowanie bruku kamiennego o grub. 20 cm</t>
  </si>
  <si>
    <t>1.4</t>
  </si>
  <si>
    <t>Roboty pomiarowe przy liniowych robotach ziemnych - trasa dróg w terenie górskim.</t>
  </si>
  <si>
    <t>Roboty rozbiórkowe</t>
  </si>
  <si>
    <t>D.01.02. 04</t>
  </si>
  <si>
    <t>Podbudowy</t>
  </si>
  <si>
    <t>Podbudowy z AC22P gr. 7 cm</t>
  </si>
  <si>
    <t>Nawierzchnia</t>
  </si>
  <si>
    <t>D-04.03. 01</t>
  </si>
  <si>
    <t>D-05.03. 05b</t>
  </si>
  <si>
    <t>Nawierzchnie AC16W - warstwa wiążąca o gr. 5 cm;</t>
  </si>
  <si>
    <t>Nawierzchnie AC11S o grubości 4 cm (warstwa ścieralna)</t>
  </si>
  <si>
    <t>D.05.03. 05a</t>
  </si>
  <si>
    <t>Pobocza</t>
  </si>
  <si>
    <t>Warstwa górna podbudowy z kruszyw łamanych gr. 15 cm UZUPEŁNIENIE POBOCZY</t>
  </si>
  <si>
    <t>Zagęszczanie poboczy</t>
  </si>
  <si>
    <t>Elementy zabezpieczające</t>
  </si>
  <si>
    <t>D-07.05. 01</t>
  </si>
  <si>
    <t>Roboty wykończeniowe</t>
  </si>
  <si>
    <t>Plantowanie skarp i korony nasypów</t>
  </si>
  <si>
    <t>D-06.01. 01</t>
  </si>
  <si>
    <t>Humusowanie skarp z obsianiem przy grubości warstwy humusu 5 cm.</t>
  </si>
  <si>
    <t>Oznakowanie pionowe</t>
  </si>
  <si>
    <t>D-07.02. 01</t>
  </si>
  <si>
    <t>Pionowe znaki drogowe - słupki z rur stalowych</t>
  </si>
  <si>
    <t>D.07.01. 01</t>
  </si>
  <si>
    <t>Razem netto</t>
  </si>
  <si>
    <t>Vat 23%</t>
  </si>
  <si>
    <t>Razem Brutto</t>
  </si>
  <si>
    <t>Rozebranie nawierzchni asfaltowej z jezdni na moście wraz z utylizacją</t>
  </si>
  <si>
    <t xml:space="preserve">kalk. indywi </t>
  </si>
  <si>
    <t>KNNR 1 0113-01</t>
  </si>
  <si>
    <t>KNR 2-33 0103-07</t>
  </si>
  <si>
    <t xml:space="preserve">KNNR-W 9 1011-03 </t>
  </si>
  <si>
    <t>KNR 2-33 0702-04</t>
  </si>
  <si>
    <t>KNR-W 4-01 0212-06</t>
  </si>
  <si>
    <t>KNNR 1 0202-08</t>
  </si>
  <si>
    <t>KNNR 1 0214-07</t>
  </si>
  <si>
    <t>KNR 2-33 0210-02</t>
  </si>
  <si>
    <t>KNR 2-33 0205-09</t>
  </si>
  <si>
    <t>KNR 2-33 0207-01</t>
  </si>
  <si>
    <t xml:space="preserve">KNR 2-33 0208-01 </t>
  </si>
  <si>
    <t xml:space="preserve">KNR 2-33 0210-02 </t>
  </si>
  <si>
    <t>KNR 2-33 0204-01</t>
  </si>
  <si>
    <t>KNR 2-33 0210-05</t>
  </si>
  <si>
    <t>KNR 2-33 0713-18</t>
  </si>
  <si>
    <t>KNR 2-33 0713-30</t>
  </si>
  <si>
    <t>KNR 2-33 0207-10</t>
  </si>
  <si>
    <t>KNR 2-33 0208-10</t>
  </si>
  <si>
    <t>KNR 2-33 0409-01</t>
  </si>
  <si>
    <t>kalk. Indywidualna</t>
  </si>
  <si>
    <t xml:space="preserve">kalk. indywid.  </t>
  </si>
  <si>
    <t>KNR 2-33 0715-0403</t>
  </si>
  <si>
    <t>KNNR 6 0308-02</t>
  </si>
  <si>
    <t>KNNR 6 0309-02</t>
  </si>
  <si>
    <t xml:space="preserve">kal. indywid.  </t>
  </si>
  <si>
    <t>KNR 2-33 0706-01</t>
  </si>
  <si>
    <t xml:space="preserve">KNR 2-33 0409-01 </t>
  </si>
  <si>
    <t>kalk. indywi</t>
  </si>
  <si>
    <t xml:space="preserve">KNNR 10 0401-07 </t>
  </si>
  <si>
    <t xml:space="preserve">KNR 2-11 0406-07 </t>
  </si>
  <si>
    <t>KNR 2-11 0412-03</t>
  </si>
  <si>
    <t>KNNR 1 0111-02</t>
  </si>
  <si>
    <t xml:space="preserve">KNR AT-03 0102-02 </t>
  </si>
  <si>
    <t>KNNR 1 0407-06</t>
  </si>
  <si>
    <t>Roboty ziemne wykonywane koparkami podsiębiernymi o poj.łyżki 0. 60 m3 w gr.kat. III-IV z transp.urobku na odległość według wskazania wykonawcy</t>
  </si>
  <si>
    <t>Frezowanie nawierzchni bitumicznej o gr. do 20 cm z wywozem materiału według wskazań Zamawiającego</t>
  </si>
  <si>
    <t>Formowanie i zagęszczanie nasypów o wys. 3,0-10,0 m spycharkami w gruncie kat.IV - materiał na nasyp dostarczony przez wykonawcę</t>
  </si>
  <si>
    <t>Betonowanie przy użyciu pompy na samochodzie - podwalina umocnień skarp i stożków nasypowych Beton C16/20</t>
  </si>
  <si>
    <t>Zasypanie wykopów. fund. podłużnych, punktowych, rowów,wykopów obiektowych spycharkami z zagęszcz. mechanicznym walcami (gr. warstwy w stanie luźnym 25 cm) -zasypka żwirowa dostarczona przez wykonawce</t>
  </si>
  <si>
    <t>Roboty ziemne wykonywane koparkami podsiębiernymi o poj. łyżki 0. 60 m3 w gr.kat. III-IV z transp.urobku na odl.do 1 km sam.samowyład.</t>
  </si>
  <si>
    <t>Betonowanie przy użyciu pompy na samochodzie - stopy, płyty i ławy fundamentowe Beton C30/37</t>
  </si>
  <si>
    <t>Deskowanie płytami ze sklejki bakelizowanej - podpory masywne, ściany oporowe i ściany maskujące</t>
  </si>
  <si>
    <t>Betonowanie przy użyciu pompy na samochodzie - podpory, ściany oporowe i mury pachwinowe Beton C30/37</t>
  </si>
  <si>
    <t>Izolacje przeciwwilgociowe powłokowe bitumiczne - wykonywane na zimno - pionowe z emulsji asfaltowej - każda następna warstwa - krotność 2</t>
  </si>
  <si>
    <t>Betonowanie przy użyciu pompy na samochodzie płyt ustrojów niosących -Beton C30/37</t>
  </si>
  <si>
    <t>Wykonanie bruku z kamienia naturalnego, średniego na koronach budowli o powierzchniach sferycznych. Grub.bruku 20 cm</t>
  </si>
  <si>
    <t>KNNR 6 0112-03</t>
  </si>
  <si>
    <t>KNNR 6 0113-02</t>
  </si>
  <si>
    <t>KNNR 6 0110-03</t>
  </si>
  <si>
    <t>KNR AT-03 0202-02</t>
  </si>
  <si>
    <t xml:space="preserve">KNR AT-03 0301-03 </t>
  </si>
  <si>
    <t xml:space="preserve">KNR AT-03 0202-02 </t>
  </si>
  <si>
    <t>Skropienie emulsją asfaltową na zimno nawierzchni bitumicznej; zużycie emulsji 0,15 kg/m2</t>
  </si>
  <si>
    <t>KNNR 6 0113-06</t>
  </si>
  <si>
    <t>KNNR 6 1301-02000</t>
  </si>
  <si>
    <t>KNR 2-31 0704-01</t>
  </si>
  <si>
    <t xml:space="preserve">KNNR 1 0503-05 </t>
  </si>
  <si>
    <t>KNNR 1 0507-01</t>
  </si>
  <si>
    <t xml:space="preserve">KNNR 7 0201-000 </t>
  </si>
  <si>
    <t xml:space="preserve">KNNR 7 0204-000 </t>
  </si>
  <si>
    <t>Pionowe znaki drogowe - znaki zakazu, nakazu, ostrzegawcze i informacyjne</t>
  </si>
  <si>
    <t>Nawierzchnie AC16W o grubości 5cm (warstwa ochronna izolacji)</t>
  </si>
  <si>
    <t>Płyty przejściowe</t>
  </si>
  <si>
    <t>1.1</t>
  </si>
  <si>
    <t>Most</t>
  </si>
  <si>
    <t>1.2</t>
  </si>
  <si>
    <t>1.5</t>
  </si>
  <si>
    <t>1.6</t>
  </si>
  <si>
    <t>1.7</t>
  </si>
  <si>
    <t>1.8</t>
  </si>
  <si>
    <t>1.9</t>
  </si>
  <si>
    <t>1.10</t>
  </si>
  <si>
    <t>1.11</t>
  </si>
  <si>
    <t>2</t>
  </si>
  <si>
    <t>Dojazd do mostu</t>
  </si>
  <si>
    <t>2.1</t>
  </si>
  <si>
    <t>2.2</t>
  </si>
  <si>
    <t>2.3</t>
  </si>
  <si>
    <t>2.4</t>
  </si>
  <si>
    <t>2.6</t>
  </si>
  <si>
    <t>2.7</t>
  </si>
  <si>
    <t>2.8</t>
  </si>
  <si>
    <t>2.9</t>
  </si>
  <si>
    <t>Wykonanie, utrzymanie i rozbiórka objazdu na czas robót</t>
  </si>
  <si>
    <t>Rozbiórka narzutu kamiennego</t>
  </si>
  <si>
    <t>Nawierzchnie AC11S grubości 4cm (warstwa ścieralna)</t>
  </si>
  <si>
    <t>M-13.02.00</t>
  </si>
  <si>
    <t>M-23.00.00</t>
  </si>
  <si>
    <t>M-11.01.00</t>
  </si>
  <si>
    <t>M-13.01.00</t>
  </si>
  <si>
    <t>M-20.03.01</t>
  </si>
  <si>
    <t>M-20.04.04</t>
  </si>
  <si>
    <t>D.01.01. 01a</t>
  </si>
  <si>
    <t>D-04.04.00a</t>
  </si>
  <si>
    <t>Podłoże ulepszone z mieszanki kruszywa niezwiązanego gr.40 cm</t>
  </si>
  <si>
    <t>Warstwa podbudowy zasadniczej z mieszanki kruszywa niezwiązanego gr. 24cm</t>
  </si>
  <si>
    <t>D-04.07.01a</t>
  </si>
  <si>
    <t>D-04.04.02a</t>
  </si>
  <si>
    <t>D-02.00.00</t>
  </si>
  <si>
    <t xml:space="preserve">D-06.03.01a </t>
  </si>
  <si>
    <t>Bariery ochronne stalowe jednostronne N2W3</t>
  </si>
  <si>
    <t>Mechaniczne malowanie linii segregacyjnych i krawędziowych ciągłych na jezdni farbą chlorokauczukową</t>
  </si>
  <si>
    <t>KNR 2-31 0706-02</t>
  </si>
  <si>
    <t>Montaż kotew talerzowych</t>
  </si>
  <si>
    <t>Ustroje niosące mostów drewnianych - rozebranie dźwigarów głównych lub belek poprzecznych stalowych</t>
  </si>
  <si>
    <t>KNR 2-33 0102-07</t>
  </si>
  <si>
    <t>Demontaż znaków drogowych</t>
  </si>
  <si>
    <t>Zabezpieczenia antykorozyjne powierzchni chodnika emulsją modyfikowną polimerami</t>
  </si>
  <si>
    <t>2.10</t>
  </si>
  <si>
    <t>Przełożenie i zabezpieczenie sieci teletechnicznej wg odrębnego opracowania</t>
  </si>
  <si>
    <t>Montaż krawężników kamiennych 20x20 kotwionych</t>
  </si>
  <si>
    <t>M-20.01.04</t>
  </si>
  <si>
    <t>KNR 2-33 0707-04</t>
  </si>
  <si>
    <t>Montaż rur osłonowych śr. 110mm w kapach</t>
  </si>
  <si>
    <t>Betonowanie przy użyciu pompy na samochodzie - stopy, płyty i ławy fundamentow, podbetonka - BETON C16/20</t>
  </si>
  <si>
    <t>Betonowanie przy użyciu pompy na samochodzie - stopy, płyty i ławy fundamentow , podbetonka - BETON C16/20</t>
  </si>
  <si>
    <t>Wykonanie i ułożenie drenów za płytami przejściowymi</t>
  </si>
  <si>
    <t>Izolacje, nawierzchnie mostu</t>
  </si>
  <si>
    <t>Rozbiórka koszy siatkowo - kamiennych</t>
  </si>
  <si>
    <t>Demontaż kładki dla pieszych</t>
  </si>
  <si>
    <t>Nawierzchnie z AC grubości 4 cm (warstwa ścieralna)</t>
  </si>
  <si>
    <t>KNR 2-33 0702-03</t>
  </si>
  <si>
    <t>Demontaż poręczy mostowych</t>
  </si>
  <si>
    <t>Mechaniczna rozbiórka elementów konstrukcji betonowych zbrojonych wraz z utylizacją - pomost</t>
  </si>
  <si>
    <t>Mechaniczna rozbiórka elementów konstrukcji betonowych zbrojonych wraz z utylizacją - podpory</t>
  </si>
  <si>
    <t>KNR 9-06 0101-03</t>
  </si>
  <si>
    <t>KNR 4-01 0349-09</t>
  </si>
  <si>
    <t>Rozbióka obrukowania kamiennego</t>
  </si>
  <si>
    <t>KNR 2-33 0706-03</t>
  </si>
  <si>
    <t>Demontaż krawężników</t>
  </si>
  <si>
    <t>KNR 2-18 0625-02</t>
  </si>
  <si>
    <t>Studzienki ściekowe z gotowych elementów betonowe o śr. 500 mm z osadnikiem bez syfonu - wpust deszczowy D400</t>
  </si>
  <si>
    <t xml:space="preserve">KNNR 11 0501-05 </t>
  </si>
  <si>
    <t>D.03.02. 01</t>
  </si>
  <si>
    <t>Podłoża i obsypki z kruszyw naturalnych dowiezionych</t>
  </si>
  <si>
    <t>KNNR 11 0505-03</t>
  </si>
  <si>
    <t>Przykanaliki z rur kielichowych z PVC o śr. nom. 200 mm- SN8</t>
  </si>
  <si>
    <t>KNNR 11 0502-05</t>
  </si>
  <si>
    <t>KNNR 4 1413-01</t>
  </si>
  <si>
    <t>Studnie rewizyjne z kręgów betonowych o śr. 1000 mm w gotowym wykopie - właz typu ciężkiego kl. D400 z dwoma ryglami i uszczelką wtopioną,</t>
  </si>
  <si>
    <t>stud.</t>
  </si>
  <si>
    <t>Rurociągi kanalizacyjne z tworzyw sztucznych - rury kielichowe z PVC o śr. nom. 300 mm - SN8</t>
  </si>
  <si>
    <t>szt</t>
  </si>
  <si>
    <t>KNNR 1 0214-05 z. o.2.11.4. 9911-02</t>
  </si>
  <si>
    <t>KNR 2-18 0613-03</t>
  </si>
  <si>
    <t>Studnie rewizyjne z kręgów betonowych o śr. 1200 mm w gotowym wykopie o głębokości 3 m- analogia: montaż separatorów</t>
  </si>
  <si>
    <t>KNR-W 2-25 0407-04</t>
  </si>
  <si>
    <t>Rozbiórka fragmentu skrzydełka gurtu kolidującego z przyczółkiem prawobrzeżnym</t>
  </si>
  <si>
    <t>KNR 2-31 0701-03</t>
  </si>
  <si>
    <t>KNR 2-31 0818-06</t>
  </si>
  <si>
    <t>Rozebranie barier stalowych pojedynczych</t>
  </si>
  <si>
    <t>Rozebranie obrzeży 8x30 cm na podsypce piaskowej</t>
  </si>
  <si>
    <t>KNR 2-31 0814-02</t>
  </si>
  <si>
    <t>KNR 2-31 0813-04</t>
  </si>
  <si>
    <t>Rozebranie krawężników betonowych 20x30 cm na podsypce cementowo-piaskowej</t>
  </si>
  <si>
    <t xml:space="preserve">Demontaż wpustów </t>
  </si>
  <si>
    <t>KNR 2-31 0803-03</t>
  </si>
  <si>
    <t>Mechaniczne rozebranie nawierzchni z mieszanek mineralno-bitumicznych o grubości 3 cm - asfalt lany na chodniku</t>
  </si>
  <si>
    <t>Ręczne rozebranie nawierzchni z kostki kamiennej nieregularnej na podsypce piaskowej: analogia - kostka betonowa</t>
  </si>
  <si>
    <t>KNNR 6 0803-01</t>
  </si>
  <si>
    <t>KNR 2-33 0207-15</t>
  </si>
  <si>
    <t>Przygotowanie zbrojenia na budowie ściany i skrzydełka</t>
  </si>
  <si>
    <t>Montaż zbrojenia ściany i skrzydełka</t>
  </si>
  <si>
    <t>KNR 2-33 0208-15</t>
  </si>
  <si>
    <t>Montaż polimerowych desek gzymsowych o wym. 100x60x4cm</t>
  </si>
  <si>
    <t>Balustrada U11a</t>
  </si>
  <si>
    <t>Balustrada U11a kotwiona w murze oporowym</t>
  </si>
  <si>
    <t>Nawierzchnie z płyt wielootworowych - dostosowanie wysokościowe zjazdu</t>
  </si>
  <si>
    <t>KNNR 10 0408-01</t>
  </si>
  <si>
    <t>KNNR-W 10 2601-02</t>
  </si>
  <si>
    <t>Remont konstrukcji betonowych i żelbetowych - remont przelewu i odtworzenie fragmentu skrzydełka gurtu</t>
  </si>
  <si>
    <t>Wbijanie ścianek szczelnych stalowych z grodzic G-62, ŚCIANKA TRACONA, elementy dł. 5m</t>
  </si>
  <si>
    <t>Wbijanie ścianek szczelnych stalowych z grodzic G-62 wraz z wyciągnięciem i dzierżawą, ŚCIANKA TYMCZASOWA, elementy dł. 8m</t>
  </si>
  <si>
    <t>Montaż barieroporęczy H2W4</t>
  </si>
  <si>
    <t>Fundamenty i ściany mostu oraz ściany oporowe</t>
  </si>
  <si>
    <t>Dylatacje</t>
  </si>
  <si>
    <t>Dylatacja kapy chodnikowej</t>
  </si>
  <si>
    <t>Dylatacje ścian oporowych</t>
  </si>
  <si>
    <t>Wykonanie budowli siatkowo - kamiennych</t>
  </si>
  <si>
    <t>Wykonanie narzutu kamiennego gr. min 60 cm</t>
  </si>
  <si>
    <t>Odwodnienie</t>
  </si>
  <si>
    <t>2.11</t>
  </si>
  <si>
    <t>2.12</t>
  </si>
  <si>
    <t>Kanał technologiczny</t>
  </si>
  <si>
    <r>
      <rPr>
        <sz val="8"/>
        <rFont val="Arial"/>
        <family val="2"/>
      </rPr>
      <t>KNR 5-01</t>
    </r>
    <r>
      <rPr>
        <sz val="8"/>
        <color indexed="8"/>
        <rFont val="Arial"/>
        <family val="2"/>
      </rPr>
      <t xml:space="preserve"> 0105-01 analogia</t>
    </r>
  </si>
  <si>
    <r>
      <rPr>
        <sz val="8"/>
        <rFont val="Arial"/>
        <family val="2"/>
      </rPr>
      <t>Budowa kanalizacji kablowej z rur PCW w gruncie kat. I-II, 1 warstwa w ciągu ka</t>
    </r>
    <r>
      <rPr>
        <sz val="8"/>
        <color indexed="8"/>
        <rFont val="Arial"/>
        <family val="2"/>
      </rPr>
      <t>nalizacji, 1 rura w warstwie, 1 otwór w ciągu kanalizacji</t>
    </r>
  </si>
  <si>
    <r>
      <rPr>
        <sz val="8"/>
        <rFont val="Arial"/>
        <family val="2"/>
      </rPr>
      <t>KNR 5-01</t>
    </r>
    <r>
      <rPr>
        <sz val="8"/>
        <color indexed="8"/>
        <rFont val="Arial"/>
        <family val="2"/>
      </rPr>
      <t xml:space="preserve"> 0401-02 analogia</t>
    </r>
  </si>
  <si>
    <r>
      <rPr>
        <sz val="8"/>
        <rFont val="Arial"/>
        <family val="2"/>
      </rPr>
      <t>Budowa studni kablowych prefabrykowanych rozdzielczych SKR-2 dwuelemento</t>
    </r>
    <r>
      <rPr>
        <sz val="8"/>
        <color indexed="8"/>
        <rFont val="Arial"/>
        <family val="2"/>
      </rPr>
      <t>wych w gruncie kat. III</t>
    </r>
  </si>
  <si>
    <t>Zasypanie wykopów.fund.podłużnych, punktowych, rowów, wykopów obiektowych spycharkami z zagęszcz. mechanicznym ubijakami (gr. warstwy w stanie luźnym 25 cm) - kat.gr. III-IV - współczynnik zagęszczenia Js=0.98) (materiał na zasypke dostarczony przez Wykonawce)</t>
  </si>
  <si>
    <t>Kosztorys ofertowy: Odbudowa mostu w km 5+260 w ciągu drogi powiatowej nr K1928 Myślenice - Wiśniowa polegająca na rozbiórce istniejącego mostu i kładki, budowie nowego obiektu mostowego wraz z chodnikiem, przebudowie drogi powiatowej na dojazdach do mostu od km 5+190,68 do km 5+307,84, budowie muru oporowego oraz odbudowie ubezpieczenia potoku Zasanka i potoku Trzemeśnianka w m. Łęki i Trzemeśnia</t>
  </si>
  <si>
    <t>Przedmiar robót: Odbudowa mostu w km 5+260 w ciągu drogi powiatowej nr K1928 Myślenice - Wiśniowa polegająca na rozbiórce istniejącego mostu i kładki, budowie nowego obiektu mostowego wraz z chodnikiem, przebudowie drogi powiatowej na dojazdach do mostu od km 5+190,68 do km 5+307,84, budowie muru oporowego oraz odbudowie ubezpieczenia potoku Zasanka i potoku Trzemeśnianka w m. Łęki i Trzemeśnia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</si>
</sst>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_-* #,##0.00\ [$zł-415]_-;\-* #,##0.00\ [$zł-415]_-;_-* &quot;-&quot;??\ [$zł-415]_-;_-@_-"/>
    <numFmt numFmtId="170" formatCode="#\ ##0.00;;"/>
    <numFmt numFmtId="171" formatCode="#,##0.000"/>
    <numFmt numFmtId="172" formatCode="_-* #\ ##0.00\ &quot;zł&quot;_-;\-* #\ ##0.00\ &quot;zł&quot;_-;_-* &quot;-&quot;??\ &quot;zł&quot;_-;_-@_-"/>
    <numFmt numFmtId="173" formatCode="0.000"/>
    <numFmt numFmtId="174" formatCode="#,##0.00_ ;\-#,##0.00\ "/>
    <numFmt numFmtId="175" formatCode="0.0"/>
    <numFmt numFmtId="176" formatCode="[$-415]dddd\,\ d\ mmmm\ yyyy"/>
    <numFmt numFmtId="177" formatCode="##\ ##0.00;;"/>
    <numFmt numFmtId="178" formatCode="0.0000"/>
    <numFmt numFmtId="179" formatCode="###\ ##0.00;;"/>
    <numFmt numFmtId="180" formatCode="####\ ##0.00;;"/>
    <numFmt numFmtId="181" formatCode="#,##0.0"/>
  </numFmts>
  <fonts count="49"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.1"/>
      <color indexed="8"/>
      <name val="Microsoft Sans Serif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9.1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3" applyNumberFormat="1">
      <alignment/>
      <protection/>
    </xf>
    <xf numFmtId="0" fontId="1" fillId="0" borderId="0" xfId="53">
      <alignment/>
      <protection/>
    </xf>
    <xf numFmtId="0" fontId="2" fillId="0" borderId="0" xfId="53" applyNumberFormat="1" applyFont="1" applyAlignment="1">
      <alignment vertical="center" wrapText="1"/>
      <protection/>
    </xf>
    <xf numFmtId="0" fontId="3" fillId="0" borderId="0" xfId="53" applyNumberFormat="1" applyFont="1" applyAlignment="1">
      <alignment vertical="center" wrapText="1"/>
      <protection/>
    </xf>
    <xf numFmtId="0" fontId="4" fillId="0" borderId="0" xfId="53" applyNumberFormat="1" applyFont="1" applyAlignment="1">
      <alignment vertical="center" wrapText="1"/>
      <protection/>
    </xf>
    <xf numFmtId="0" fontId="3" fillId="0" borderId="0" xfId="53" applyNumberFormat="1" applyFont="1" applyFill="1" applyAlignment="1">
      <alignment vertical="center" wrapText="1"/>
      <protection/>
    </xf>
    <xf numFmtId="170" fontId="3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53" applyNumberFormat="1" applyFont="1" applyFill="1" applyBorder="1" applyAlignment="1">
      <alignment horizontal="right" vertical="center" wrapText="1"/>
      <protection/>
    </xf>
    <xf numFmtId="0" fontId="1" fillId="0" borderId="0" xfId="53" applyNumberFormat="1" applyFill="1">
      <alignment/>
      <protection/>
    </xf>
    <xf numFmtId="0" fontId="1" fillId="0" borderId="0" xfId="53" applyNumberForma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vertical="center" wrapText="1"/>
      <protection/>
    </xf>
    <xf numFmtId="170" fontId="2" fillId="0" borderId="11" xfId="53" applyNumberFormat="1" applyFont="1" applyFill="1" applyBorder="1" applyAlignment="1">
      <alignment horizontal="right" vertical="center" wrapText="1"/>
      <protection/>
    </xf>
    <xf numFmtId="0" fontId="4" fillId="0" borderId="0" xfId="53" applyNumberFormat="1" applyFont="1" applyFill="1" applyAlignment="1">
      <alignment vertical="center" wrapText="1"/>
      <protection/>
    </xf>
    <xf numFmtId="0" fontId="4" fillId="0" borderId="0" xfId="53" applyNumberFormat="1" applyFont="1" applyFill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0" fontId="1" fillId="0" borderId="0" xfId="53" applyFill="1">
      <alignment/>
      <protection/>
    </xf>
    <xf numFmtId="175" fontId="3" fillId="0" borderId="10" xfId="53" applyNumberFormat="1" applyFont="1" applyFill="1" applyBorder="1" applyAlignment="1">
      <alignment horizontal="right" vertical="center" wrapText="1"/>
      <protection/>
    </xf>
    <xf numFmtId="1" fontId="3" fillId="0" borderId="10" xfId="53" applyNumberFormat="1" applyFont="1" applyFill="1" applyBorder="1" applyAlignment="1">
      <alignment horizontal="right" vertical="center" wrapText="1"/>
      <protection/>
    </xf>
    <xf numFmtId="4" fontId="1" fillId="0" borderId="0" xfId="53" applyNumberFormat="1">
      <alignment/>
      <protection/>
    </xf>
    <xf numFmtId="175" fontId="1" fillId="0" borderId="0" xfId="53" applyNumberFormat="1">
      <alignment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right" vertical="center" wrapText="1"/>
      <protection/>
    </xf>
    <xf numFmtId="0" fontId="3" fillId="33" borderId="12" xfId="0" applyNumberFormat="1" applyFont="1" applyFill="1" applyBorder="1" applyAlignment="1">
      <alignment vertical="center" wrapText="1"/>
    </xf>
    <xf numFmtId="0" fontId="3" fillId="0" borderId="13" xfId="53" applyNumberFormat="1" applyFont="1" applyFill="1" applyBorder="1" applyAlignment="1">
      <alignment vertical="center" wrapText="1"/>
      <protection/>
    </xf>
    <xf numFmtId="170" fontId="2" fillId="0" borderId="14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170" fontId="3" fillId="0" borderId="12" xfId="53" applyNumberFormat="1" applyFont="1" applyFill="1" applyBorder="1" applyAlignment="1">
      <alignment horizontal="right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1" fillId="0" borderId="0" xfId="53" applyNumberFormat="1" applyFill="1" applyBorder="1">
      <alignment/>
      <protection/>
    </xf>
    <xf numFmtId="0" fontId="1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0" fontId="1" fillId="0" borderId="0" xfId="53" applyBorder="1">
      <alignment/>
      <protection/>
    </xf>
    <xf numFmtId="170" fontId="3" fillId="0" borderId="0" xfId="53" applyNumberFormat="1" applyFont="1" applyFill="1" applyBorder="1" applyAlignment="1">
      <alignment horizontal="center" vertical="center" wrapText="1"/>
      <protection/>
    </xf>
    <xf numFmtId="170" fontId="3" fillId="0" borderId="0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2" fillId="0" borderId="15" xfId="53" applyNumberFormat="1" applyFont="1" applyFill="1" applyBorder="1" applyAlignment="1">
      <alignment horizontal="left" vertical="center" wrapText="1"/>
      <protection/>
    </xf>
    <xf numFmtId="0" fontId="2" fillId="0" borderId="16" xfId="53" applyNumberFormat="1" applyFont="1" applyFill="1" applyBorder="1" applyAlignment="1">
      <alignment horizontal="left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49" fontId="2" fillId="0" borderId="18" xfId="53" applyNumberFormat="1" applyFont="1" applyFill="1" applyBorder="1" applyAlignment="1">
      <alignment horizontal="left" vertical="center" wrapText="1"/>
      <protection/>
    </xf>
    <xf numFmtId="0" fontId="3" fillId="0" borderId="18" xfId="53" applyNumberFormat="1" applyFont="1" applyFill="1" applyBorder="1" applyAlignment="1">
      <alignment vertical="center" wrapText="1"/>
      <protection/>
    </xf>
    <xf numFmtId="170" fontId="3" fillId="0" borderId="19" xfId="53" applyNumberFormat="1" applyFont="1" applyFill="1" applyBorder="1" applyAlignment="1">
      <alignment horizontal="right" vertical="center" wrapText="1"/>
      <protection/>
    </xf>
    <xf numFmtId="2" fontId="3" fillId="0" borderId="19" xfId="53" applyNumberFormat="1" applyFont="1" applyFill="1" applyBorder="1" applyAlignment="1">
      <alignment horizontal="right" vertical="center" wrapText="1"/>
      <protection/>
    </xf>
    <xf numFmtId="173" fontId="3" fillId="0" borderId="19" xfId="53" applyNumberFormat="1" applyFont="1" applyFill="1" applyBorder="1" applyAlignment="1">
      <alignment horizontal="right" vertical="center" wrapText="1"/>
      <protection/>
    </xf>
    <xf numFmtId="175" fontId="3" fillId="0" borderId="19" xfId="53" applyNumberFormat="1" applyFont="1" applyFill="1" applyBorder="1" applyAlignment="1">
      <alignment horizontal="right" vertical="center" wrapText="1"/>
      <protection/>
    </xf>
    <xf numFmtId="0" fontId="3" fillId="0" borderId="18" xfId="53" applyNumberFormat="1" applyFont="1" applyFill="1" applyBorder="1" applyAlignment="1">
      <alignment horizontal="right" vertical="center" wrapText="1"/>
      <protection/>
    </xf>
    <xf numFmtId="1" fontId="3" fillId="0" borderId="19" xfId="53" applyNumberFormat="1" applyFont="1" applyFill="1" applyBorder="1" applyAlignment="1">
      <alignment horizontal="right" vertical="center" wrapText="1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>
      <alignment vertical="center" wrapText="1"/>
      <protection/>
    </xf>
    <xf numFmtId="0" fontId="3" fillId="0" borderId="22" xfId="53" applyNumberFormat="1" applyFont="1" applyFill="1" applyBorder="1" applyAlignment="1">
      <alignment vertical="center" wrapText="1"/>
      <protection/>
    </xf>
    <xf numFmtId="0" fontId="3" fillId="0" borderId="22" xfId="53" applyNumberFormat="1" applyFont="1" applyFill="1" applyBorder="1" applyAlignment="1">
      <alignment horizontal="left" vertical="center" wrapText="1"/>
      <protection/>
    </xf>
    <xf numFmtId="0" fontId="3" fillId="0" borderId="22" xfId="53" applyNumberFormat="1" applyFont="1" applyFill="1" applyBorder="1" applyAlignment="1">
      <alignment horizontal="center" vertical="center" wrapText="1"/>
      <protection/>
    </xf>
    <xf numFmtId="1" fontId="3" fillId="0" borderId="0" xfId="53" applyNumberFormat="1" applyFont="1" applyAlignment="1">
      <alignment vertical="center" wrapText="1"/>
      <protection/>
    </xf>
    <xf numFmtId="170" fontId="3" fillId="0" borderId="11" xfId="53" applyNumberFormat="1" applyFont="1" applyFill="1" applyBorder="1" applyAlignment="1">
      <alignment horizontal="right" vertical="center" wrapText="1"/>
      <protection/>
    </xf>
    <xf numFmtId="0" fontId="3" fillId="0" borderId="23" xfId="53" applyNumberFormat="1" applyFont="1" applyFill="1" applyBorder="1" applyAlignment="1">
      <alignment vertical="center" wrapText="1"/>
      <protection/>
    </xf>
    <xf numFmtId="0" fontId="3" fillId="0" borderId="24" xfId="53" applyNumberFormat="1" applyFont="1" applyFill="1" applyBorder="1" applyAlignment="1">
      <alignment horizontal="left" vertical="center" wrapText="1"/>
      <protection/>
    </xf>
    <xf numFmtId="0" fontId="3" fillId="0" borderId="24" xfId="53" applyNumberFormat="1" applyFont="1" applyFill="1" applyBorder="1" applyAlignment="1">
      <alignment horizontal="center" vertical="center" wrapText="1"/>
      <protection/>
    </xf>
    <xf numFmtId="170" fontId="3" fillId="0" borderId="24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175" fontId="3" fillId="0" borderId="12" xfId="53" applyNumberFormat="1" applyFont="1" applyFill="1" applyBorder="1" applyAlignment="1">
      <alignment horizontal="right" vertical="center" wrapText="1"/>
      <protection/>
    </xf>
    <xf numFmtId="2" fontId="3" fillId="0" borderId="12" xfId="53" applyNumberFormat="1" applyFont="1" applyBorder="1" applyAlignment="1">
      <alignment vertical="center" wrapText="1"/>
      <protection/>
    </xf>
    <xf numFmtId="2" fontId="3" fillId="0" borderId="12" xfId="53" applyNumberFormat="1" applyFont="1" applyFill="1" applyBorder="1" applyAlignment="1">
      <alignment horizontal="right" vertical="center" wrapText="1"/>
      <protection/>
    </xf>
    <xf numFmtId="175" fontId="3" fillId="0" borderId="12" xfId="53" applyNumberFormat="1" applyFont="1" applyBorder="1" applyAlignment="1">
      <alignment vertical="center" wrapText="1"/>
      <protection/>
    </xf>
    <xf numFmtId="0" fontId="3" fillId="0" borderId="23" xfId="53" applyNumberFormat="1" applyFont="1" applyFill="1" applyBorder="1" applyAlignment="1">
      <alignment horizontal="left" vertical="center" wrapText="1"/>
      <protection/>
    </xf>
    <xf numFmtId="0" fontId="3" fillId="0" borderId="23" xfId="53" applyNumberFormat="1" applyFont="1" applyFill="1" applyBorder="1" applyAlignment="1">
      <alignment horizontal="center" vertical="center" wrapText="1"/>
      <protection/>
    </xf>
    <xf numFmtId="170" fontId="3" fillId="0" borderId="23" xfId="53" applyNumberFormat="1" applyFont="1" applyFill="1" applyBorder="1" applyAlignment="1">
      <alignment horizontal="right" vertical="center" wrapText="1"/>
      <protection/>
    </xf>
    <xf numFmtId="173" fontId="3" fillId="0" borderId="23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Border="1" applyAlignment="1">
      <alignment vertical="center" wrapText="1"/>
      <protection/>
    </xf>
    <xf numFmtId="0" fontId="3" fillId="0" borderId="13" xfId="53" applyNumberFormat="1" applyFont="1" applyFill="1" applyBorder="1" applyAlignment="1">
      <alignment horizontal="left" vertical="center" wrapText="1"/>
      <protection/>
    </xf>
    <xf numFmtId="0" fontId="2" fillId="0" borderId="25" xfId="53" applyNumberFormat="1" applyFont="1" applyFill="1" applyBorder="1" applyAlignment="1">
      <alignment vertical="center" wrapText="1"/>
      <protection/>
    </xf>
    <xf numFmtId="0" fontId="3" fillId="0" borderId="26" xfId="53" applyNumberFormat="1" applyFont="1" applyFill="1" applyBorder="1" applyAlignment="1">
      <alignment horizontal="center" vertical="center" wrapText="1"/>
      <protection/>
    </xf>
    <xf numFmtId="175" fontId="3" fillId="0" borderId="26" xfId="53" applyNumberFormat="1" applyFont="1" applyFill="1" applyBorder="1" applyAlignment="1">
      <alignment horizontal="right" vertical="center" wrapText="1"/>
      <protection/>
    </xf>
    <xf numFmtId="0" fontId="2" fillId="0" borderId="13" xfId="53" applyNumberFormat="1" applyFont="1" applyFill="1" applyBorder="1" applyAlignment="1">
      <alignment horizontal="right" vertical="center" wrapText="1"/>
      <protection/>
    </xf>
    <xf numFmtId="0" fontId="2" fillId="0" borderId="27" xfId="53" applyNumberFormat="1" applyFont="1" applyFill="1" applyBorder="1" applyAlignment="1">
      <alignment horizontal="right" vertical="center" wrapText="1"/>
      <protection/>
    </xf>
    <xf numFmtId="0" fontId="2" fillId="0" borderId="0" xfId="53" applyNumberFormat="1" applyFont="1" applyFill="1" applyAlignment="1">
      <alignment horizontal="right" vertical="center" wrapText="1"/>
      <protection/>
    </xf>
    <xf numFmtId="0" fontId="2" fillId="0" borderId="13" xfId="53" applyNumberFormat="1" applyFont="1" applyFill="1" applyBorder="1" applyAlignment="1">
      <alignment horizontal="left" vertical="center" wrapText="1"/>
      <protection/>
    </xf>
    <xf numFmtId="0" fontId="2" fillId="0" borderId="27" xfId="53" applyNumberFormat="1" applyFont="1" applyFill="1" applyBorder="1" applyAlignment="1">
      <alignment horizontal="left" vertical="center" wrapText="1"/>
      <protection/>
    </xf>
    <xf numFmtId="0" fontId="2" fillId="0" borderId="28" xfId="53" applyNumberFormat="1" applyFont="1" applyFill="1" applyBorder="1" applyAlignment="1">
      <alignment horizontal="right" vertical="center" wrapText="1"/>
      <protection/>
    </xf>
    <xf numFmtId="0" fontId="2" fillId="0" borderId="29" xfId="53" applyNumberFormat="1" applyFont="1" applyFill="1" applyBorder="1" applyAlignment="1">
      <alignment horizontal="left" vertical="center" wrapText="1"/>
      <protection/>
    </xf>
    <xf numFmtId="0" fontId="2" fillId="0" borderId="30" xfId="53" applyNumberFormat="1" applyFont="1" applyFill="1" applyBorder="1" applyAlignment="1">
      <alignment horizontal="left" vertical="center" wrapTex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2" fillId="0" borderId="31" xfId="53" applyNumberFormat="1" applyFont="1" applyFill="1" applyBorder="1" applyAlignment="1">
      <alignment horizontal="right" vertical="center" wrapText="1"/>
      <protection/>
    </xf>
    <xf numFmtId="0" fontId="2" fillId="0" borderId="32" xfId="53" applyNumberFormat="1" applyFont="1" applyFill="1" applyBorder="1" applyAlignment="1">
      <alignment horizontal="left" vertical="center" wrapText="1"/>
      <protection/>
    </xf>
    <xf numFmtId="0" fontId="3" fillId="0" borderId="29" xfId="53" applyNumberFormat="1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23" xfId="53" applyNumberFormat="1" applyFont="1" applyFill="1" applyBorder="1" applyAlignment="1">
      <alignment horizontal="right" vertical="center" wrapText="1"/>
      <protection/>
    </xf>
    <xf numFmtId="175" fontId="46" fillId="0" borderId="0" xfId="53" applyNumberFormat="1" applyFont="1" applyAlignment="1">
      <alignment vertical="center" wrapText="1"/>
      <protection/>
    </xf>
    <xf numFmtId="181" fontId="3" fillId="0" borderId="10" xfId="53" applyNumberFormat="1" applyFont="1" applyFill="1" applyBorder="1" applyAlignment="1">
      <alignment horizontal="right" vertical="center" wrapText="1"/>
      <protection/>
    </xf>
    <xf numFmtId="4" fontId="3" fillId="0" borderId="10" xfId="53" applyNumberFormat="1" applyFont="1" applyFill="1" applyBorder="1" applyAlignment="1">
      <alignment horizontal="right" vertical="center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29" xfId="53" applyNumberFormat="1" applyFont="1" applyFill="1" applyBorder="1" applyAlignment="1">
      <alignment horizontal="right" vertical="center" wrapText="1"/>
      <protection/>
    </xf>
    <xf numFmtId="170" fontId="3" fillId="0" borderId="33" xfId="53" applyNumberFormat="1" applyFont="1" applyFill="1" applyBorder="1" applyAlignment="1">
      <alignment horizontal="right" vertical="center" wrapText="1"/>
      <protection/>
    </xf>
    <xf numFmtId="175" fontId="3" fillId="0" borderId="24" xfId="53" applyNumberFormat="1" applyFont="1" applyBorder="1" applyAlignment="1">
      <alignment vertical="center" wrapText="1"/>
      <protection/>
    </xf>
    <xf numFmtId="170" fontId="3" fillId="0" borderId="25" xfId="53" applyNumberFormat="1" applyFont="1" applyFill="1" applyBorder="1" applyAlignment="1">
      <alignment horizontal="right" vertical="center" wrapText="1"/>
      <protection/>
    </xf>
    <xf numFmtId="0" fontId="3" fillId="0" borderId="13" xfId="53" applyNumberFormat="1" applyFont="1" applyFill="1" applyBorder="1" applyAlignment="1">
      <alignment horizontal="right" vertical="center" wrapText="1"/>
      <protection/>
    </xf>
    <xf numFmtId="0" fontId="47" fillId="0" borderId="34" xfId="0" applyFont="1" applyFill="1" applyBorder="1" applyAlignment="1">
      <alignment horizontal="left" vertical="top" wrapText="1"/>
    </xf>
    <xf numFmtId="0" fontId="47" fillId="0" borderId="35" xfId="0" applyFont="1" applyFill="1" applyBorder="1" applyAlignment="1">
      <alignment horizontal="left" vertical="top" wrapText="1"/>
    </xf>
    <xf numFmtId="0" fontId="2" fillId="0" borderId="12" xfId="53" applyNumberFormat="1" applyFont="1" applyBorder="1" applyAlignment="1">
      <alignment vertical="center" wrapText="1"/>
      <protection/>
    </xf>
    <xf numFmtId="0" fontId="3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53" applyFill="1" applyBorder="1">
      <alignment/>
      <protection/>
    </xf>
    <xf numFmtId="49" fontId="48" fillId="0" borderId="0" xfId="0" applyNumberFormat="1" applyFont="1" applyBorder="1" applyAlignment="1">
      <alignment vertical="top" wrapText="1"/>
    </xf>
    <xf numFmtId="49" fontId="48" fillId="0" borderId="0" xfId="0" applyNumberFormat="1" applyFont="1" applyBorder="1" applyAlignment="1">
      <alignment horizontal="center" vertical="top" wrapText="1"/>
    </xf>
    <xf numFmtId="173" fontId="3" fillId="0" borderId="36" xfId="53" applyNumberFormat="1" applyFont="1" applyFill="1" applyBorder="1" applyAlignment="1">
      <alignment horizontal="right" vertical="center" wrapText="1"/>
      <protection/>
    </xf>
    <xf numFmtId="0" fontId="2" fillId="0" borderId="37" xfId="53" applyNumberFormat="1" applyFont="1" applyFill="1" applyBorder="1" applyAlignment="1">
      <alignment horizontal="left" vertical="center" wrapText="1"/>
      <protection/>
    </xf>
    <xf numFmtId="0" fontId="3" fillId="0" borderId="38" xfId="53" applyNumberFormat="1" applyFont="1" applyFill="1" applyBorder="1" applyAlignment="1">
      <alignment vertical="center" wrapText="1"/>
      <protection/>
    </xf>
    <xf numFmtId="175" fontId="3" fillId="0" borderId="39" xfId="53" applyNumberFormat="1" applyFont="1" applyFill="1" applyBorder="1" applyAlignment="1">
      <alignment horizontal="right" vertical="center" wrapText="1"/>
      <protection/>
    </xf>
    <xf numFmtId="4" fontId="3" fillId="0" borderId="36" xfId="53" applyNumberFormat="1" applyFont="1" applyFill="1" applyBorder="1" applyAlignment="1">
      <alignment horizontal="right" vertical="center" wrapText="1"/>
      <protection/>
    </xf>
    <xf numFmtId="0" fontId="3" fillId="0" borderId="20" xfId="53" applyNumberFormat="1" applyFont="1" applyFill="1" applyBorder="1" applyAlignment="1">
      <alignment horizontal="right" vertical="center" wrapText="1"/>
      <protection/>
    </xf>
    <xf numFmtId="0" fontId="3" fillId="0" borderId="32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170" fontId="3" fillId="0" borderId="36" xfId="53" applyNumberFormat="1" applyFont="1" applyFill="1" applyBorder="1" applyAlignment="1">
      <alignment horizontal="right" vertical="center" wrapText="1"/>
      <protection/>
    </xf>
    <xf numFmtId="181" fontId="3" fillId="0" borderId="40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view="pageBreakPreview" zoomScaleSheetLayoutView="100" zoomScalePageLayoutView="0" workbookViewId="0" topLeftCell="B134">
      <selection activeCell="H151" sqref="H151:H153"/>
    </sheetView>
  </sheetViews>
  <sheetFormatPr defaultColWidth="9.140625" defaultRowHeight="12.75"/>
  <cols>
    <col min="1" max="1" width="9.140625" style="1" hidden="1" customWidth="1"/>
    <col min="2" max="2" width="6.57421875" style="13" customWidth="1"/>
    <col min="3" max="3" width="12.8515625" style="13" customWidth="1"/>
    <col min="4" max="4" width="9.140625" style="21" customWidth="1"/>
    <col min="5" max="5" width="40.00390625" style="13" customWidth="1"/>
    <col min="6" max="6" width="6.28125" style="14" customWidth="1"/>
    <col min="7" max="7" width="7.140625" style="13" customWidth="1"/>
    <col min="8" max="8" width="8.8515625" style="13" customWidth="1"/>
    <col min="9" max="9" width="12.00390625" style="13" customWidth="1"/>
    <col min="10" max="10" width="15.28125" style="2" customWidth="1"/>
    <col min="11" max="16384" width="9.140625" style="2" customWidth="1"/>
  </cols>
  <sheetData>
    <row r="1" spans="2:9" s="1" customFormat="1" ht="12.75" hidden="1">
      <c r="B1" s="13" t="s">
        <v>4</v>
      </c>
      <c r="C1" s="13" t="s">
        <v>5</v>
      </c>
      <c r="D1" s="13" t="s">
        <v>6</v>
      </c>
      <c r="E1" s="13" t="s">
        <v>7</v>
      </c>
      <c r="F1" s="14" t="s">
        <v>8</v>
      </c>
      <c r="G1" s="13" t="s">
        <v>9</v>
      </c>
      <c r="H1" s="13" t="s">
        <v>10</v>
      </c>
      <c r="I1" s="13" t="s">
        <v>11</v>
      </c>
    </row>
    <row r="2" spans="2:9" ht="38.25" customHeight="1">
      <c r="B2" s="89" t="s">
        <v>282</v>
      </c>
      <c r="C2" s="89"/>
      <c r="D2" s="89"/>
      <c r="E2" s="89"/>
      <c r="F2" s="89"/>
      <c r="G2" s="89"/>
      <c r="H2" s="89"/>
      <c r="I2" s="89"/>
    </row>
    <row r="3" spans="2:9" ht="20.25">
      <c r="B3" s="8" t="s">
        <v>12</v>
      </c>
      <c r="C3" s="8" t="s">
        <v>13</v>
      </c>
      <c r="D3" s="8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</row>
    <row r="4" spans="1:9" s="3" customFormat="1" ht="9.75">
      <c r="A4" s="3" t="s">
        <v>20</v>
      </c>
      <c r="B4" s="26" t="s">
        <v>0</v>
      </c>
      <c r="C4" s="84" t="s">
        <v>157</v>
      </c>
      <c r="D4" s="85"/>
      <c r="E4" s="85"/>
      <c r="F4" s="85"/>
      <c r="G4" s="85"/>
      <c r="H4" s="85"/>
      <c r="I4" s="16"/>
    </row>
    <row r="5" spans="1:9" s="3" customFormat="1" ht="9.75">
      <c r="A5" s="3" t="s">
        <v>20</v>
      </c>
      <c r="B5" s="26" t="s">
        <v>156</v>
      </c>
      <c r="C5" s="84" t="s">
        <v>2</v>
      </c>
      <c r="D5" s="85"/>
      <c r="E5" s="85"/>
      <c r="F5" s="85"/>
      <c r="G5" s="85"/>
      <c r="H5" s="85"/>
      <c r="I5" s="16"/>
    </row>
    <row r="6" spans="1:9" s="4" customFormat="1" ht="9.75">
      <c r="A6" s="4" t="s">
        <v>21</v>
      </c>
      <c r="B6" s="9">
        <v>1</v>
      </c>
      <c r="C6" s="9" t="s">
        <v>92</v>
      </c>
      <c r="D6" s="9"/>
      <c r="E6" s="10" t="s">
        <v>30</v>
      </c>
      <c r="F6" s="11" t="s">
        <v>31</v>
      </c>
      <c r="G6" s="7">
        <v>1</v>
      </c>
      <c r="H6" s="7"/>
      <c r="I6" s="7">
        <f>ROUND(G6*H6,2)</f>
        <v>0</v>
      </c>
    </row>
    <row r="7" spans="1:9" s="4" customFormat="1" ht="9.75">
      <c r="A7" s="4" t="s">
        <v>21</v>
      </c>
      <c r="B7" s="9">
        <f>B6+1</f>
        <v>2</v>
      </c>
      <c r="C7" s="9" t="s">
        <v>92</v>
      </c>
      <c r="D7" s="9"/>
      <c r="E7" s="10" t="s">
        <v>176</v>
      </c>
      <c r="F7" s="11" t="s">
        <v>28</v>
      </c>
      <c r="G7" s="7">
        <v>1</v>
      </c>
      <c r="H7" s="7"/>
      <c r="I7" s="7">
        <f>ROUND(G7*H7,2)</f>
        <v>0</v>
      </c>
    </row>
    <row r="8" spans="1:9" s="4" customFormat="1" ht="20.25">
      <c r="A8" s="4" t="s">
        <v>21</v>
      </c>
      <c r="B8" s="9">
        <f>B7+1</f>
        <v>3</v>
      </c>
      <c r="C8" s="9" t="s">
        <v>92</v>
      </c>
      <c r="D8" s="9"/>
      <c r="E8" s="10" t="s">
        <v>202</v>
      </c>
      <c r="F8" s="11" t="s">
        <v>28</v>
      </c>
      <c r="G8" s="7">
        <v>1</v>
      </c>
      <c r="H8" s="7"/>
      <c r="I8" s="7">
        <f>ROUND(G8*H8,2)</f>
        <v>0</v>
      </c>
    </row>
    <row r="9" spans="2:9" s="3" customFormat="1" ht="9.75">
      <c r="B9" s="81" t="str">
        <f>CONCATENATE("Razem - ",C5)</f>
        <v>Razem - Roboty przygotowawcze</v>
      </c>
      <c r="C9" s="82"/>
      <c r="D9" s="82"/>
      <c r="E9" s="82"/>
      <c r="F9" s="82"/>
      <c r="G9" s="82"/>
      <c r="H9" s="82"/>
      <c r="I9" s="17">
        <f>SUM(I6:I8)</f>
        <v>0</v>
      </c>
    </row>
    <row r="10" spans="1:9" s="3" customFormat="1" ht="9.75">
      <c r="A10" s="3" t="s">
        <v>20</v>
      </c>
      <c r="B10" s="26" t="s">
        <v>158</v>
      </c>
      <c r="C10" s="84" t="s">
        <v>1</v>
      </c>
      <c r="D10" s="85"/>
      <c r="E10" s="85"/>
      <c r="F10" s="85"/>
      <c r="G10" s="85"/>
      <c r="H10" s="85"/>
      <c r="I10" s="16"/>
    </row>
    <row r="11" spans="1:9" s="4" customFormat="1" ht="20.25">
      <c r="A11" s="4" t="s">
        <v>21</v>
      </c>
      <c r="B11" s="9">
        <f>B8+1</f>
        <v>4</v>
      </c>
      <c r="C11" s="9" t="s">
        <v>94</v>
      </c>
      <c r="D11" s="9" t="s">
        <v>180</v>
      </c>
      <c r="E11" s="10" t="s">
        <v>91</v>
      </c>
      <c r="F11" s="11" t="s">
        <v>24</v>
      </c>
      <c r="G11" s="7">
        <f>11.5*6.5</f>
        <v>74.75</v>
      </c>
      <c r="H11" s="7"/>
      <c r="I11" s="7">
        <f aca="true" t="shared" si="0" ref="I11:I22">ROUND(G11*H11,2)</f>
        <v>0</v>
      </c>
    </row>
    <row r="12" spans="2:9" s="4" customFormat="1" ht="9.75">
      <c r="B12" s="9">
        <f>B11+1</f>
        <v>5</v>
      </c>
      <c r="C12" s="9" t="s">
        <v>221</v>
      </c>
      <c r="D12" s="9"/>
      <c r="E12" s="10" t="s">
        <v>222</v>
      </c>
      <c r="F12" s="11" t="s">
        <v>25</v>
      </c>
      <c r="G12" s="7">
        <f>16+18</f>
        <v>34</v>
      </c>
      <c r="H12" s="7"/>
      <c r="I12" s="7">
        <f t="shared" si="0"/>
        <v>0</v>
      </c>
    </row>
    <row r="13" spans="1:9" s="4" customFormat="1" ht="20.25">
      <c r="A13" s="4" t="s">
        <v>21</v>
      </c>
      <c r="B13" s="9">
        <f aca="true" t="shared" si="1" ref="B13:B22">B12+1</f>
        <v>6</v>
      </c>
      <c r="C13" s="9" t="s">
        <v>95</v>
      </c>
      <c r="D13" s="9" t="s">
        <v>180</v>
      </c>
      <c r="E13" s="10" t="s">
        <v>199</v>
      </c>
      <c r="F13" s="11" t="s">
        <v>28</v>
      </c>
      <c r="G13" s="7">
        <v>9</v>
      </c>
      <c r="H13" s="7"/>
      <c r="I13" s="7">
        <f t="shared" si="0"/>
        <v>0</v>
      </c>
    </row>
    <row r="14" spans="2:9" s="4" customFormat="1" ht="9.75">
      <c r="B14" s="9">
        <f t="shared" si="1"/>
        <v>7</v>
      </c>
      <c r="C14" s="9" t="s">
        <v>92</v>
      </c>
      <c r="D14" s="9"/>
      <c r="E14" s="10" t="s">
        <v>212</v>
      </c>
      <c r="F14" s="11" t="s">
        <v>28</v>
      </c>
      <c r="G14" s="7">
        <v>1</v>
      </c>
      <c r="H14" s="7"/>
      <c r="I14" s="7">
        <f t="shared" si="0"/>
        <v>0</v>
      </c>
    </row>
    <row r="15" spans="1:9" s="4" customFormat="1" ht="9.75">
      <c r="A15" s="4" t="s">
        <v>21</v>
      </c>
      <c r="B15" s="9">
        <f t="shared" si="1"/>
        <v>8</v>
      </c>
      <c r="C15" s="9" t="s">
        <v>214</v>
      </c>
      <c r="D15" s="9" t="s">
        <v>180</v>
      </c>
      <c r="E15" s="10" t="s">
        <v>215</v>
      </c>
      <c r="F15" s="11" t="s">
        <v>40</v>
      </c>
      <c r="G15" s="42">
        <f>ROUND((12+17)*0.042,2)</f>
        <v>1.22</v>
      </c>
      <c r="H15" s="7"/>
      <c r="I15" s="7">
        <f t="shared" si="0"/>
        <v>0</v>
      </c>
    </row>
    <row r="16" spans="2:9" s="4" customFormat="1" ht="20.25">
      <c r="B16" s="9">
        <f t="shared" si="1"/>
        <v>9</v>
      </c>
      <c r="C16" s="9" t="s">
        <v>97</v>
      </c>
      <c r="D16" s="9" t="s">
        <v>180</v>
      </c>
      <c r="E16" s="10" t="s">
        <v>216</v>
      </c>
      <c r="F16" s="11" t="s">
        <v>23</v>
      </c>
      <c r="G16" s="7">
        <f>9*9*0.4</f>
        <v>32.4</v>
      </c>
      <c r="H16" s="7"/>
      <c r="I16" s="7">
        <f t="shared" si="0"/>
        <v>0</v>
      </c>
    </row>
    <row r="17" spans="2:9" s="4" customFormat="1" ht="20.25">
      <c r="B17" s="9">
        <f t="shared" si="1"/>
        <v>10</v>
      </c>
      <c r="C17" s="9" t="s">
        <v>198</v>
      </c>
      <c r="D17" s="9"/>
      <c r="E17" s="10" t="s">
        <v>197</v>
      </c>
      <c r="F17" s="11" t="s">
        <v>40</v>
      </c>
      <c r="G17" s="12">
        <f>ROUND(9*8.6*0.068,3)</f>
        <v>5.263</v>
      </c>
      <c r="H17" s="7"/>
      <c r="I17" s="7">
        <f t="shared" si="0"/>
        <v>0</v>
      </c>
    </row>
    <row r="18" spans="1:9" s="4" customFormat="1" ht="20.25">
      <c r="A18" s="4" t="s">
        <v>21</v>
      </c>
      <c r="B18" s="9">
        <f t="shared" si="1"/>
        <v>11</v>
      </c>
      <c r="C18" s="9" t="s">
        <v>97</v>
      </c>
      <c r="D18" s="9" t="s">
        <v>180</v>
      </c>
      <c r="E18" s="10" t="s">
        <v>217</v>
      </c>
      <c r="F18" s="11" t="s">
        <v>23</v>
      </c>
      <c r="G18" s="7">
        <f>(17+15)*4*1+2*1*1*5</f>
        <v>138</v>
      </c>
      <c r="H18" s="7"/>
      <c r="I18" s="7">
        <f t="shared" si="0"/>
        <v>0</v>
      </c>
    </row>
    <row r="19" spans="2:9" s="4" customFormat="1" ht="9.75">
      <c r="B19" s="9">
        <f t="shared" si="1"/>
        <v>12</v>
      </c>
      <c r="C19" s="62" t="s">
        <v>92</v>
      </c>
      <c r="D19" s="62" t="s">
        <v>180</v>
      </c>
      <c r="E19" s="63" t="s">
        <v>177</v>
      </c>
      <c r="F19" s="64" t="s">
        <v>23</v>
      </c>
      <c r="G19" s="65">
        <v>70</v>
      </c>
      <c r="H19" s="65"/>
      <c r="I19" s="7">
        <f t="shared" si="0"/>
        <v>0</v>
      </c>
    </row>
    <row r="20" spans="2:9" s="4" customFormat="1" ht="9.75">
      <c r="B20" s="9">
        <f t="shared" si="1"/>
        <v>13</v>
      </c>
      <c r="C20" s="66" t="s">
        <v>219</v>
      </c>
      <c r="D20" s="66"/>
      <c r="E20" s="41" t="s">
        <v>220</v>
      </c>
      <c r="F20" s="31" t="s">
        <v>24</v>
      </c>
      <c r="G20" s="32">
        <v>120</v>
      </c>
      <c r="H20" s="32"/>
      <c r="I20" s="7">
        <f t="shared" si="0"/>
        <v>0</v>
      </c>
    </row>
    <row r="21" spans="2:9" s="4" customFormat="1" ht="9.75">
      <c r="B21" s="9">
        <f t="shared" si="1"/>
        <v>14</v>
      </c>
      <c r="C21" s="66" t="s">
        <v>92</v>
      </c>
      <c r="D21" s="66"/>
      <c r="E21" s="41" t="s">
        <v>211</v>
      </c>
      <c r="F21" s="31" t="s">
        <v>23</v>
      </c>
      <c r="G21" s="32">
        <f>1.5*1*25</f>
        <v>37.5</v>
      </c>
      <c r="H21" s="32"/>
      <c r="I21" s="7">
        <f t="shared" si="0"/>
        <v>0</v>
      </c>
    </row>
    <row r="22" spans="2:9" s="4" customFormat="1" ht="20.25">
      <c r="B22" s="9">
        <f t="shared" si="1"/>
        <v>15</v>
      </c>
      <c r="C22" s="66" t="s">
        <v>97</v>
      </c>
      <c r="D22" s="66"/>
      <c r="E22" s="41" t="s">
        <v>240</v>
      </c>
      <c r="F22" s="31" t="s">
        <v>23</v>
      </c>
      <c r="G22" s="32">
        <v>5</v>
      </c>
      <c r="H22" s="32"/>
      <c r="I22" s="7">
        <f t="shared" si="0"/>
        <v>0</v>
      </c>
    </row>
    <row r="23" spans="2:9" s="3" customFormat="1" ht="9.75">
      <c r="B23" s="90" t="str">
        <f>CONCATENATE("Razem - ",C10)</f>
        <v>Razem - Rozbiórka istniejącego mostu</v>
      </c>
      <c r="C23" s="86"/>
      <c r="D23" s="86"/>
      <c r="E23" s="86"/>
      <c r="F23" s="86"/>
      <c r="G23" s="86"/>
      <c r="H23" s="86"/>
      <c r="I23" s="30">
        <f>SUM(I11:I22)</f>
        <v>0</v>
      </c>
    </row>
    <row r="24" spans="1:9" s="3" customFormat="1" ht="9.75">
      <c r="A24" s="3" t="s">
        <v>20</v>
      </c>
      <c r="B24" s="26" t="s">
        <v>29</v>
      </c>
      <c r="C24" s="87" t="s">
        <v>34</v>
      </c>
      <c r="D24" s="88"/>
      <c r="E24" s="85"/>
      <c r="F24" s="85"/>
      <c r="G24" s="85"/>
      <c r="H24" s="85"/>
      <c r="I24" s="16"/>
    </row>
    <row r="25" spans="1:9" s="4" customFormat="1" ht="20.25">
      <c r="A25" s="4" t="s">
        <v>21</v>
      </c>
      <c r="B25" s="29">
        <f>B22+1</f>
        <v>16</v>
      </c>
      <c r="C25" s="28" t="s">
        <v>218</v>
      </c>
      <c r="D25" s="76"/>
      <c r="E25" s="99" t="s">
        <v>264</v>
      </c>
      <c r="F25" s="100" t="s">
        <v>25</v>
      </c>
      <c r="G25" s="7">
        <f>35+20</f>
        <v>55</v>
      </c>
      <c r="H25" s="7"/>
      <c r="I25" s="7">
        <f>ROUND(G25*H25,2)</f>
        <v>0</v>
      </c>
    </row>
    <row r="26" spans="2:9" s="4" customFormat="1" ht="30">
      <c r="B26" s="9">
        <f>B25+1</f>
        <v>17</v>
      </c>
      <c r="C26" s="28" t="s">
        <v>218</v>
      </c>
      <c r="D26" s="76"/>
      <c r="E26" s="99" t="s">
        <v>265</v>
      </c>
      <c r="F26" s="100" t="s">
        <v>25</v>
      </c>
      <c r="G26" s="7">
        <f>31+19</f>
        <v>50</v>
      </c>
      <c r="H26" s="7"/>
      <c r="I26" s="7">
        <f>ROUND(G26*H26,2)</f>
        <v>0</v>
      </c>
    </row>
    <row r="27" spans="1:9" s="4" customFormat="1" ht="30">
      <c r="A27" s="4" t="s">
        <v>21</v>
      </c>
      <c r="B27" s="9">
        <f>B26+1</f>
        <v>18</v>
      </c>
      <c r="C27" s="9" t="s">
        <v>98</v>
      </c>
      <c r="D27" s="9" t="s">
        <v>181</v>
      </c>
      <c r="E27" s="10" t="s">
        <v>132</v>
      </c>
      <c r="F27" s="11" t="s">
        <v>23</v>
      </c>
      <c r="G27" s="7">
        <f>(115+65)*1.8+2*8*3*15+5*12*3</f>
        <v>1224</v>
      </c>
      <c r="H27" s="7"/>
      <c r="I27" s="7">
        <f>ROUND(G27*H27,2)</f>
        <v>0</v>
      </c>
    </row>
    <row r="28" spans="1:9" s="4" customFormat="1" ht="40.5">
      <c r="A28" s="4" t="s">
        <v>21</v>
      </c>
      <c r="B28" s="9">
        <f>B27+1</f>
        <v>19</v>
      </c>
      <c r="C28" s="9" t="s">
        <v>99</v>
      </c>
      <c r="D28" s="9" t="s">
        <v>35</v>
      </c>
      <c r="E28" s="10" t="s">
        <v>131</v>
      </c>
      <c r="F28" s="11" t="s">
        <v>23</v>
      </c>
      <c r="G28" s="7">
        <v>950</v>
      </c>
      <c r="H28" s="7"/>
      <c r="I28" s="7">
        <f>ROUND(G28*H28,2)</f>
        <v>0</v>
      </c>
    </row>
    <row r="29" spans="2:9" s="3" customFormat="1" ht="9.75">
      <c r="B29" s="81" t="str">
        <f>CONCATENATE("Razem - ",C24)</f>
        <v>Razem - Roboty ziemne</v>
      </c>
      <c r="C29" s="82"/>
      <c r="D29" s="82"/>
      <c r="E29" s="82"/>
      <c r="F29" s="82"/>
      <c r="G29" s="82"/>
      <c r="H29" s="82"/>
      <c r="I29" s="17">
        <f>SUM(I25:I28)</f>
        <v>0</v>
      </c>
    </row>
    <row r="30" spans="1:11" s="3" customFormat="1" ht="9.75">
      <c r="A30" s="3" t="s">
        <v>20</v>
      </c>
      <c r="B30" s="26" t="s">
        <v>63</v>
      </c>
      <c r="C30" s="84" t="s">
        <v>267</v>
      </c>
      <c r="D30" s="85"/>
      <c r="E30" s="85"/>
      <c r="F30" s="85"/>
      <c r="G30" s="85"/>
      <c r="H30" s="85"/>
      <c r="I30" s="16"/>
      <c r="K30" s="4"/>
    </row>
    <row r="31" spans="1:9" s="4" customFormat="1" ht="20.25">
      <c r="A31" s="4" t="s">
        <v>21</v>
      </c>
      <c r="B31" s="9">
        <f>B28+1</f>
        <v>20</v>
      </c>
      <c r="C31" s="9" t="s">
        <v>100</v>
      </c>
      <c r="D31" s="9" t="s">
        <v>179</v>
      </c>
      <c r="E31" s="10" t="s">
        <v>207</v>
      </c>
      <c r="F31" s="11" t="s">
        <v>23</v>
      </c>
      <c r="G31" s="7">
        <f>(115+65)*0.2+5</f>
        <v>41</v>
      </c>
      <c r="H31" s="7"/>
      <c r="I31" s="7">
        <f aca="true" t="shared" si="2" ref="I31:I38">ROUND(G31*H31,2)</f>
        <v>0</v>
      </c>
    </row>
    <row r="32" spans="1:9" s="4" customFormat="1" ht="9.75">
      <c r="A32" s="4" t="s">
        <v>21</v>
      </c>
      <c r="B32" s="9">
        <f>B31+1</f>
        <v>21</v>
      </c>
      <c r="C32" s="9" t="s">
        <v>253</v>
      </c>
      <c r="D32" s="9" t="s">
        <v>38</v>
      </c>
      <c r="E32" s="10" t="s">
        <v>254</v>
      </c>
      <c r="F32" s="11" t="s">
        <v>40</v>
      </c>
      <c r="G32" s="12">
        <f>5.038+4.007+14.969+5.475+1.813</f>
        <v>31.301999999999996</v>
      </c>
      <c r="H32" s="7"/>
      <c r="I32" s="7">
        <f t="shared" si="2"/>
        <v>0</v>
      </c>
    </row>
    <row r="33" spans="1:9" s="4" customFormat="1" ht="9.75">
      <c r="A33" s="4" t="s">
        <v>21</v>
      </c>
      <c r="B33" s="9">
        <f aca="true" t="shared" si="3" ref="B33:B38">B32+1</f>
        <v>22</v>
      </c>
      <c r="C33" s="9" t="s">
        <v>256</v>
      </c>
      <c r="D33" s="9" t="s">
        <v>38</v>
      </c>
      <c r="E33" s="10" t="s">
        <v>255</v>
      </c>
      <c r="F33" s="11" t="s">
        <v>40</v>
      </c>
      <c r="G33" s="12">
        <f>G32</f>
        <v>31.301999999999996</v>
      </c>
      <c r="H33" s="7"/>
      <c r="I33" s="7">
        <f t="shared" si="2"/>
        <v>0</v>
      </c>
    </row>
    <row r="34" spans="1:9" s="4" customFormat="1" ht="20.25">
      <c r="A34" s="4" t="s">
        <v>21</v>
      </c>
      <c r="B34" s="9">
        <f>B33+1</f>
        <v>23</v>
      </c>
      <c r="C34" s="9" t="s">
        <v>104</v>
      </c>
      <c r="D34" s="9" t="s">
        <v>182</v>
      </c>
      <c r="E34" s="10" t="s">
        <v>133</v>
      </c>
      <c r="F34" s="11" t="s">
        <v>23</v>
      </c>
      <c r="G34" s="7">
        <f>58+68</f>
        <v>126</v>
      </c>
      <c r="H34" s="7"/>
      <c r="I34" s="7">
        <f t="shared" si="2"/>
        <v>0</v>
      </c>
    </row>
    <row r="35" spans="1:9" s="4" customFormat="1" ht="20.25">
      <c r="A35" s="4" t="s">
        <v>21</v>
      </c>
      <c r="B35" s="9">
        <f t="shared" si="3"/>
        <v>24</v>
      </c>
      <c r="C35" s="9" t="s">
        <v>105</v>
      </c>
      <c r="D35" s="9" t="s">
        <v>182</v>
      </c>
      <c r="E35" s="10" t="s">
        <v>134</v>
      </c>
      <c r="F35" s="11" t="s">
        <v>24</v>
      </c>
      <c r="G35" s="22">
        <f>405+83</f>
        <v>488</v>
      </c>
      <c r="H35" s="7"/>
      <c r="I35" s="7">
        <f t="shared" si="2"/>
        <v>0</v>
      </c>
    </row>
    <row r="36" spans="1:9" s="4" customFormat="1" ht="20.25">
      <c r="A36" s="4" t="s">
        <v>21</v>
      </c>
      <c r="B36" s="9">
        <f t="shared" si="3"/>
        <v>25</v>
      </c>
      <c r="C36" s="9" t="s">
        <v>106</v>
      </c>
      <c r="D36" s="9" t="s">
        <v>182</v>
      </c>
      <c r="E36" s="10" t="s">
        <v>135</v>
      </c>
      <c r="F36" s="11" t="s">
        <v>23</v>
      </c>
      <c r="G36" s="22">
        <f>110+59+18</f>
        <v>187</v>
      </c>
      <c r="H36" s="7"/>
      <c r="I36" s="7">
        <f t="shared" si="2"/>
        <v>0</v>
      </c>
    </row>
    <row r="37" spans="1:9" s="4" customFormat="1" ht="30">
      <c r="A37" s="4" t="s">
        <v>21</v>
      </c>
      <c r="B37" s="9">
        <f t="shared" si="3"/>
        <v>26</v>
      </c>
      <c r="C37" s="9" t="s">
        <v>107</v>
      </c>
      <c r="D37" s="9" t="s">
        <v>42</v>
      </c>
      <c r="E37" s="10" t="s">
        <v>43</v>
      </c>
      <c r="F37" s="11" t="s">
        <v>24</v>
      </c>
      <c r="G37" s="22">
        <f>455.9+63.5</f>
        <v>519.4</v>
      </c>
      <c r="H37" s="7"/>
      <c r="I37" s="7">
        <f t="shared" si="2"/>
        <v>0</v>
      </c>
    </row>
    <row r="38" spans="1:9" s="4" customFormat="1" ht="30">
      <c r="A38" s="4" t="s">
        <v>21</v>
      </c>
      <c r="B38" s="9">
        <f t="shared" si="3"/>
        <v>27</v>
      </c>
      <c r="C38" s="9" t="s">
        <v>108</v>
      </c>
      <c r="D38" s="9" t="s">
        <v>42</v>
      </c>
      <c r="E38" s="10" t="s">
        <v>136</v>
      </c>
      <c r="F38" s="11" t="s">
        <v>24</v>
      </c>
      <c r="G38" s="22">
        <f>G37</f>
        <v>519.4</v>
      </c>
      <c r="H38" s="7"/>
      <c r="I38" s="7">
        <f t="shared" si="2"/>
        <v>0</v>
      </c>
    </row>
    <row r="39" spans="2:9" s="3" customFormat="1" ht="9.75">
      <c r="B39" s="81" t="str">
        <f>CONCATENATE("Razem - ",C30)</f>
        <v>Razem - Fundamenty i ściany mostu oraz ściany oporowe</v>
      </c>
      <c r="C39" s="82"/>
      <c r="D39" s="82"/>
      <c r="E39" s="82"/>
      <c r="F39" s="82"/>
      <c r="G39" s="82"/>
      <c r="H39" s="82"/>
      <c r="I39" s="17">
        <f>SUM(I31:I38)</f>
        <v>0</v>
      </c>
    </row>
    <row r="40" spans="1:9" s="3" customFormat="1" ht="9.75">
      <c r="A40" s="3" t="s">
        <v>20</v>
      </c>
      <c r="B40" s="26" t="s">
        <v>159</v>
      </c>
      <c r="C40" s="84" t="s">
        <v>44</v>
      </c>
      <c r="D40" s="85"/>
      <c r="E40" s="85"/>
      <c r="F40" s="85"/>
      <c r="G40" s="85"/>
      <c r="H40" s="85"/>
      <c r="I40" s="16"/>
    </row>
    <row r="41" spans="1:9" s="4" customFormat="1" ht="20.25">
      <c r="A41" s="4" t="s">
        <v>21</v>
      </c>
      <c r="B41" s="27">
        <f>B38+1</f>
        <v>28</v>
      </c>
      <c r="C41" s="9" t="s">
        <v>105</v>
      </c>
      <c r="D41" s="9" t="s">
        <v>182</v>
      </c>
      <c r="E41" s="10" t="s">
        <v>45</v>
      </c>
      <c r="F41" s="11" t="s">
        <v>24</v>
      </c>
      <c r="G41" s="22">
        <v>187</v>
      </c>
      <c r="H41" s="7"/>
      <c r="I41" s="7">
        <f>ROUND(G41*H41,2)</f>
        <v>0</v>
      </c>
    </row>
    <row r="42" spans="1:9" s="4" customFormat="1" ht="9.75">
      <c r="A42" s="4" t="s">
        <v>21</v>
      </c>
      <c r="B42" s="27">
        <f>B41+1</f>
        <v>29</v>
      </c>
      <c r="C42" s="9" t="s">
        <v>109</v>
      </c>
      <c r="D42" s="9" t="s">
        <v>38</v>
      </c>
      <c r="E42" s="10" t="s">
        <v>46</v>
      </c>
      <c r="F42" s="11" t="s">
        <v>40</v>
      </c>
      <c r="G42" s="12">
        <v>12.163</v>
      </c>
      <c r="H42" s="7"/>
      <c r="I42" s="7">
        <f>ROUND(G42*H42,2)</f>
        <v>0</v>
      </c>
    </row>
    <row r="43" spans="1:9" s="4" customFormat="1" ht="9.75">
      <c r="A43" s="4" t="s">
        <v>21</v>
      </c>
      <c r="B43" s="27">
        <f>B42+1</f>
        <v>30</v>
      </c>
      <c r="C43" s="9" t="s">
        <v>110</v>
      </c>
      <c r="D43" s="9" t="s">
        <v>38</v>
      </c>
      <c r="E43" s="10" t="s">
        <v>47</v>
      </c>
      <c r="F43" s="11" t="s">
        <v>40</v>
      </c>
      <c r="G43" s="12">
        <f>G42</f>
        <v>12.163</v>
      </c>
      <c r="H43" s="7"/>
      <c r="I43" s="7">
        <f>ROUND(G43*H43,2)</f>
        <v>0</v>
      </c>
    </row>
    <row r="44" spans="1:9" s="4" customFormat="1" ht="20.25">
      <c r="A44" s="4" t="s">
        <v>21</v>
      </c>
      <c r="B44" s="27">
        <f>B43+1</f>
        <v>31</v>
      </c>
      <c r="C44" s="9" t="s">
        <v>111</v>
      </c>
      <c r="D44" s="9" t="s">
        <v>182</v>
      </c>
      <c r="E44" s="10" t="s">
        <v>137</v>
      </c>
      <c r="F44" s="11" t="s">
        <v>23</v>
      </c>
      <c r="G44" s="7">
        <v>145</v>
      </c>
      <c r="H44" s="7"/>
      <c r="I44" s="7">
        <f>ROUND(G44*H44,2)</f>
        <v>0</v>
      </c>
    </row>
    <row r="45" spans="1:9" s="4" customFormat="1" ht="9.75">
      <c r="A45" s="4" t="s">
        <v>21</v>
      </c>
      <c r="B45" s="27">
        <f>B44+1</f>
        <v>32</v>
      </c>
      <c r="C45" s="9" t="s">
        <v>112</v>
      </c>
      <c r="D45" s="9" t="s">
        <v>38</v>
      </c>
      <c r="E45" s="10" t="s">
        <v>196</v>
      </c>
      <c r="F45" s="11" t="s">
        <v>27</v>
      </c>
      <c r="G45" s="23">
        <v>61</v>
      </c>
      <c r="H45" s="7"/>
      <c r="I45" s="7">
        <f>ROUND(G45*H45,2)</f>
        <v>0</v>
      </c>
    </row>
    <row r="46" spans="2:9" s="3" customFormat="1" ht="9.75">
      <c r="B46" s="81" t="str">
        <f>CONCATENATE("Razem - ",C40)</f>
        <v>Razem - Płyta mostowa</v>
      </c>
      <c r="C46" s="82"/>
      <c r="D46" s="82"/>
      <c r="E46" s="82"/>
      <c r="F46" s="82"/>
      <c r="G46" s="82"/>
      <c r="H46" s="82"/>
      <c r="I46" s="17">
        <f>SUM(I41:I45)</f>
        <v>0</v>
      </c>
    </row>
    <row r="47" spans="2:9" s="3" customFormat="1" ht="9.75">
      <c r="B47" s="26" t="s">
        <v>160</v>
      </c>
      <c r="C47" s="84" t="s">
        <v>155</v>
      </c>
      <c r="D47" s="85"/>
      <c r="E47" s="85"/>
      <c r="F47" s="85"/>
      <c r="G47" s="85"/>
      <c r="H47" s="85"/>
      <c r="I47" s="16"/>
    </row>
    <row r="48" spans="2:9" s="3" customFormat="1" ht="20.25">
      <c r="B48" s="27">
        <f>B45+1</f>
        <v>33</v>
      </c>
      <c r="C48" s="9" t="s">
        <v>100</v>
      </c>
      <c r="D48" s="9" t="s">
        <v>179</v>
      </c>
      <c r="E48" s="10" t="s">
        <v>208</v>
      </c>
      <c r="F48" s="11" t="s">
        <v>23</v>
      </c>
      <c r="G48" s="22">
        <f>2*38*0.1</f>
        <v>7.6000000000000005</v>
      </c>
      <c r="H48" s="7"/>
      <c r="I48" s="7">
        <f aca="true" t="shared" si="4" ref="I48:I53">ROUND(G48*H48,2)</f>
        <v>0</v>
      </c>
    </row>
    <row r="49" spans="2:9" s="3" customFormat="1" ht="9.75">
      <c r="B49" s="27">
        <f>B48+1</f>
        <v>34</v>
      </c>
      <c r="C49" s="9" t="s">
        <v>101</v>
      </c>
      <c r="D49" s="9" t="s">
        <v>36</v>
      </c>
      <c r="E49" s="10" t="s">
        <v>37</v>
      </c>
      <c r="F49" s="11" t="s">
        <v>24</v>
      </c>
      <c r="G49" s="7">
        <f>(15.6+11.5)*0.3+(12.7+10.5)*0.6</f>
        <v>22.05</v>
      </c>
      <c r="H49" s="7"/>
      <c r="I49" s="7">
        <f t="shared" si="4"/>
        <v>0</v>
      </c>
    </row>
    <row r="50" spans="2:9" s="3" customFormat="1" ht="9.75">
      <c r="B50" s="27">
        <f>B49+1</f>
        <v>35</v>
      </c>
      <c r="C50" s="9" t="s">
        <v>102</v>
      </c>
      <c r="D50" s="9" t="s">
        <v>38</v>
      </c>
      <c r="E50" s="10" t="s">
        <v>39</v>
      </c>
      <c r="F50" s="11" t="s">
        <v>40</v>
      </c>
      <c r="G50" s="12">
        <v>3.679</v>
      </c>
      <c r="H50" s="7"/>
      <c r="I50" s="7">
        <f t="shared" si="4"/>
        <v>0</v>
      </c>
    </row>
    <row r="51" spans="2:9" s="3" customFormat="1" ht="9.75">
      <c r="B51" s="27">
        <f>B50+1</f>
        <v>36</v>
      </c>
      <c r="C51" s="9" t="s">
        <v>103</v>
      </c>
      <c r="D51" s="9" t="s">
        <v>38</v>
      </c>
      <c r="E51" s="10" t="s">
        <v>41</v>
      </c>
      <c r="F51" s="11" t="s">
        <v>40</v>
      </c>
      <c r="G51" s="75">
        <f>G50</f>
        <v>3.679</v>
      </c>
      <c r="H51" s="7"/>
      <c r="I51" s="7">
        <f t="shared" si="4"/>
        <v>0</v>
      </c>
    </row>
    <row r="52" spans="2:9" s="3" customFormat="1" ht="20.25">
      <c r="B52" s="27">
        <f>B51+1</f>
        <v>37</v>
      </c>
      <c r="C52" s="9" t="s">
        <v>104</v>
      </c>
      <c r="D52" s="9" t="s">
        <v>36</v>
      </c>
      <c r="E52" s="10" t="s">
        <v>133</v>
      </c>
      <c r="F52" s="67" t="s">
        <v>23</v>
      </c>
      <c r="G52" s="32">
        <v>26.5</v>
      </c>
      <c r="H52" s="61"/>
      <c r="I52" s="7">
        <f t="shared" si="4"/>
        <v>0</v>
      </c>
    </row>
    <row r="53" spans="2:9" s="3" customFormat="1" ht="9.75">
      <c r="B53" s="27">
        <f>B52+1</f>
        <v>38</v>
      </c>
      <c r="C53" s="9" t="s">
        <v>113</v>
      </c>
      <c r="D53" s="9" t="s">
        <v>22</v>
      </c>
      <c r="E53" s="10" t="s">
        <v>209</v>
      </c>
      <c r="F53" s="67" t="s">
        <v>25</v>
      </c>
      <c r="G53" s="76">
        <f>12.3+13</f>
        <v>25.3</v>
      </c>
      <c r="H53" s="61"/>
      <c r="I53" s="7">
        <f t="shared" si="4"/>
        <v>0</v>
      </c>
    </row>
    <row r="54" spans="2:9" s="3" customFormat="1" ht="9.75">
      <c r="B54" s="81" t="str">
        <f>CONCATENATE("Razem - ",C47)</f>
        <v>Razem - Płyty przejściowe</v>
      </c>
      <c r="C54" s="82"/>
      <c r="D54" s="82"/>
      <c r="E54" s="82"/>
      <c r="F54" s="82"/>
      <c r="G54" s="86"/>
      <c r="H54" s="82"/>
      <c r="I54" s="17">
        <f>SUM(I48:I53)</f>
        <v>0</v>
      </c>
    </row>
    <row r="55" spans="1:9" s="3" customFormat="1" ht="9.75">
      <c r="A55" s="3" t="s">
        <v>20</v>
      </c>
      <c r="B55" s="26" t="s">
        <v>161</v>
      </c>
      <c r="C55" s="84" t="s">
        <v>210</v>
      </c>
      <c r="D55" s="85"/>
      <c r="E55" s="85"/>
      <c r="F55" s="85"/>
      <c r="G55" s="88"/>
      <c r="H55" s="85"/>
      <c r="I55" s="16"/>
    </row>
    <row r="56" spans="1:9" s="4" customFormat="1" ht="20.25">
      <c r="A56" s="4" t="s">
        <v>21</v>
      </c>
      <c r="B56" s="9">
        <f>B53+1</f>
        <v>39</v>
      </c>
      <c r="C56" s="9" t="s">
        <v>114</v>
      </c>
      <c r="D56" s="9" t="s">
        <v>48</v>
      </c>
      <c r="E56" s="10" t="s">
        <v>49</v>
      </c>
      <c r="F56" s="67" t="s">
        <v>24</v>
      </c>
      <c r="G56" s="68">
        <v>280.9</v>
      </c>
      <c r="H56" s="61"/>
      <c r="I56" s="7">
        <f>ROUND(G56*H56,2)</f>
        <v>0</v>
      </c>
    </row>
    <row r="57" spans="1:10" s="4" customFormat="1" ht="20.25">
      <c r="A57" s="4" t="s">
        <v>21</v>
      </c>
      <c r="B57" s="9">
        <f>B56+1</f>
        <v>40</v>
      </c>
      <c r="C57" s="9" t="s">
        <v>115</v>
      </c>
      <c r="D57" s="9" t="s">
        <v>71</v>
      </c>
      <c r="E57" s="10" t="s">
        <v>154</v>
      </c>
      <c r="F57" s="67" t="s">
        <v>24</v>
      </c>
      <c r="G57" s="69">
        <f>17.85*7</f>
        <v>124.95000000000002</v>
      </c>
      <c r="H57" s="61"/>
      <c r="I57" s="7">
        <f>ROUND(G57*H57,2)</f>
        <v>0</v>
      </c>
      <c r="J57" s="60"/>
    </row>
    <row r="58" spans="1:10" s="4" customFormat="1" ht="9.75">
      <c r="A58" s="4" t="s">
        <v>21</v>
      </c>
      <c r="B58" s="9">
        <f>B57+1</f>
        <v>41</v>
      </c>
      <c r="C58" s="9" t="s">
        <v>116</v>
      </c>
      <c r="D58" s="9" t="s">
        <v>50</v>
      </c>
      <c r="E58" s="10" t="s">
        <v>178</v>
      </c>
      <c r="F58" s="67" t="s">
        <v>24</v>
      </c>
      <c r="G58" s="70">
        <f>G57</f>
        <v>124.95000000000002</v>
      </c>
      <c r="H58" s="61"/>
      <c r="I58" s="7">
        <f>ROUND(G58*H58,2)</f>
        <v>0</v>
      </c>
      <c r="J58" s="60"/>
    </row>
    <row r="59" spans="2:9" s="3" customFormat="1" ht="9.75">
      <c r="B59" s="81" t="str">
        <f>CONCATENATE("Razem - ",C55)</f>
        <v>Razem - Izolacje, nawierzchnie mostu</v>
      </c>
      <c r="C59" s="82"/>
      <c r="D59" s="82"/>
      <c r="E59" s="82"/>
      <c r="F59" s="82"/>
      <c r="G59" s="86"/>
      <c r="H59" s="82"/>
      <c r="I59" s="17">
        <f>SUM(I56:I58)</f>
        <v>0</v>
      </c>
    </row>
    <row r="60" spans="1:9" s="3" customFormat="1" ht="9.75">
      <c r="A60" s="3" t="s">
        <v>20</v>
      </c>
      <c r="B60" s="26" t="s">
        <v>162</v>
      </c>
      <c r="C60" s="84" t="s">
        <v>268</v>
      </c>
      <c r="D60" s="85"/>
      <c r="E60" s="85"/>
      <c r="F60" s="85"/>
      <c r="G60" s="88"/>
      <c r="H60" s="85"/>
      <c r="I60" s="16"/>
    </row>
    <row r="61" spans="1:9" s="4" customFormat="1" ht="20.25">
      <c r="A61" s="4" t="s">
        <v>21</v>
      </c>
      <c r="B61" s="62">
        <f>B58+1</f>
        <v>42</v>
      </c>
      <c r="C61" s="62" t="s">
        <v>117</v>
      </c>
      <c r="D61" s="62" t="s">
        <v>51</v>
      </c>
      <c r="E61" s="72" t="s">
        <v>52</v>
      </c>
      <c r="F61" s="92" t="s">
        <v>25</v>
      </c>
      <c r="G61" s="103">
        <f>9.9+8.2</f>
        <v>18.1</v>
      </c>
      <c r="H61" s="104"/>
      <c r="I61" s="74">
        <f>ROUND(G61*H61,2)</f>
        <v>0</v>
      </c>
    </row>
    <row r="62" spans="2:9" s="4" customFormat="1" ht="9.75">
      <c r="B62" s="9">
        <f>B61+1</f>
        <v>43</v>
      </c>
      <c r="C62" s="62" t="s">
        <v>117</v>
      </c>
      <c r="D62" s="66"/>
      <c r="E62" s="41" t="s">
        <v>269</v>
      </c>
      <c r="F62" s="31" t="s">
        <v>25</v>
      </c>
      <c r="G62" s="71">
        <f>ROUND(3.99+1.35+3.2+1.15,1)</f>
        <v>9.7</v>
      </c>
      <c r="H62" s="32"/>
      <c r="I62" s="32">
        <f>ROUND(G62*H62,2)</f>
        <v>0</v>
      </c>
    </row>
    <row r="63" spans="2:9" s="4" customFormat="1" ht="9.75">
      <c r="B63" s="29">
        <f>B62+1</f>
        <v>44</v>
      </c>
      <c r="C63" s="66" t="s">
        <v>117</v>
      </c>
      <c r="D63" s="66"/>
      <c r="E63" s="41" t="s">
        <v>270</v>
      </c>
      <c r="F63" s="31" t="s">
        <v>25</v>
      </c>
      <c r="G63" s="71">
        <f>3.6+3.9+1.5</f>
        <v>9</v>
      </c>
      <c r="H63" s="32"/>
      <c r="I63" s="32">
        <f>ROUND(G63*H63,2)</f>
        <v>0</v>
      </c>
    </row>
    <row r="64" spans="2:9" s="3" customFormat="1" ht="9.75">
      <c r="B64" s="90" t="str">
        <f>CONCATENATE("Razem - ",C60)</f>
        <v>Razem - Dylatacje</v>
      </c>
      <c r="C64" s="86"/>
      <c r="D64" s="86"/>
      <c r="E64" s="86"/>
      <c r="F64" s="86"/>
      <c r="G64" s="86"/>
      <c r="H64" s="86"/>
      <c r="I64" s="30">
        <f>SUM(I61:I63)</f>
        <v>0</v>
      </c>
    </row>
    <row r="65" spans="1:9" s="3" customFormat="1" ht="9.75">
      <c r="A65" s="3" t="s">
        <v>20</v>
      </c>
      <c r="B65" s="26" t="s">
        <v>163</v>
      </c>
      <c r="C65" s="84" t="s">
        <v>53</v>
      </c>
      <c r="D65" s="85"/>
      <c r="E65" s="85"/>
      <c r="F65" s="85"/>
      <c r="G65" s="85"/>
      <c r="H65" s="85"/>
      <c r="I65" s="16"/>
    </row>
    <row r="66" spans="1:9" s="4" customFormat="1" ht="20.25">
      <c r="A66" s="4" t="s">
        <v>21</v>
      </c>
      <c r="B66" s="9">
        <f>B63+1</f>
        <v>45</v>
      </c>
      <c r="C66" s="9" t="s">
        <v>100</v>
      </c>
      <c r="D66" s="9" t="s">
        <v>179</v>
      </c>
      <c r="E66" s="10" t="s">
        <v>208</v>
      </c>
      <c r="F66" s="11" t="s">
        <v>23</v>
      </c>
      <c r="G66" s="22">
        <f>ROUND((16.7+4.1)*1.75*0.6+(1.6+2.7)*0.3*0.4,1)</f>
        <v>22.4</v>
      </c>
      <c r="H66" s="7"/>
      <c r="I66" s="7">
        <f aca="true" t="shared" si="5" ref="I66:I73">ROUND(G66*H66,2)</f>
        <v>0</v>
      </c>
    </row>
    <row r="67" spans="1:9" s="4" customFormat="1" ht="20.25">
      <c r="A67" s="4" t="s">
        <v>21</v>
      </c>
      <c r="B67" s="9">
        <f aca="true" t="shared" si="6" ref="B67:B73">B66+1</f>
        <v>46</v>
      </c>
      <c r="C67" s="66" t="s">
        <v>92</v>
      </c>
      <c r="D67" s="9"/>
      <c r="E67" s="10" t="s">
        <v>257</v>
      </c>
      <c r="F67" s="11" t="s">
        <v>25</v>
      </c>
      <c r="G67" s="22">
        <f>37+22</f>
        <v>59</v>
      </c>
      <c r="H67" s="7"/>
      <c r="I67" s="7">
        <f t="shared" si="5"/>
        <v>0</v>
      </c>
    </row>
    <row r="68" spans="1:9" s="4" customFormat="1" ht="20.25">
      <c r="A68" s="4" t="s">
        <v>21</v>
      </c>
      <c r="B68" s="9">
        <f t="shared" si="6"/>
        <v>47</v>
      </c>
      <c r="C68" s="9" t="s">
        <v>118</v>
      </c>
      <c r="D68" s="9" t="s">
        <v>54</v>
      </c>
      <c r="E68" s="10" t="s">
        <v>203</v>
      </c>
      <c r="F68" s="11" t="s">
        <v>25</v>
      </c>
      <c r="G68" s="7">
        <f>37+22+2*3</f>
        <v>65</v>
      </c>
      <c r="H68" s="7"/>
      <c r="I68" s="7">
        <f t="shared" si="5"/>
        <v>0</v>
      </c>
    </row>
    <row r="69" spans="1:9" s="4" customFormat="1" ht="9.75">
      <c r="A69" s="4" t="s">
        <v>21</v>
      </c>
      <c r="B69" s="9">
        <f t="shared" si="6"/>
        <v>48</v>
      </c>
      <c r="C69" s="9" t="s">
        <v>109</v>
      </c>
      <c r="D69" s="9" t="s">
        <v>38</v>
      </c>
      <c r="E69" s="10" t="s">
        <v>55</v>
      </c>
      <c r="F69" s="11" t="s">
        <v>40</v>
      </c>
      <c r="G69" s="12">
        <v>3.015</v>
      </c>
      <c r="H69" s="7"/>
      <c r="I69" s="7">
        <f t="shared" si="5"/>
        <v>0</v>
      </c>
    </row>
    <row r="70" spans="1:9" s="4" customFormat="1" ht="9.75">
      <c r="A70" s="4" t="s">
        <v>21</v>
      </c>
      <c r="B70" s="9">
        <f t="shared" si="6"/>
        <v>49</v>
      </c>
      <c r="C70" s="9" t="s">
        <v>110</v>
      </c>
      <c r="D70" s="9" t="s">
        <v>38</v>
      </c>
      <c r="E70" s="10" t="s">
        <v>56</v>
      </c>
      <c r="F70" s="11" t="s">
        <v>40</v>
      </c>
      <c r="G70" s="12">
        <f>G69</f>
        <v>3.015</v>
      </c>
      <c r="H70" s="7"/>
      <c r="I70" s="7">
        <f t="shared" si="5"/>
        <v>0</v>
      </c>
    </row>
    <row r="71" spans="2:9" s="4" customFormat="1" ht="9.75">
      <c r="B71" s="9">
        <f t="shared" si="6"/>
        <v>50</v>
      </c>
      <c r="C71" s="9" t="s">
        <v>205</v>
      </c>
      <c r="D71" s="9" t="s">
        <v>204</v>
      </c>
      <c r="E71" s="10" t="s">
        <v>206</v>
      </c>
      <c r="F71" s="11" t="s">
        <v>25</v>
      </c>
      <c r="G71" s="22">
        <f>37+22</f>
        <v>59</v>
      </c>
      <c r="H71" s="7"/>
      <c r="I71" s="7">
        <f t="shared" si="5"/>
        <v>0</v>
      </c>
    </row>
    <row r="72" spans="1:9" s="4" customFormat="1" ht="20.25">
      <c r="A72" s="4" t="s">
        <v>21</v>
      </c>
      <c r="B72" s="9">
        <f t="shared" si="6"/>
        <v>51</v>
      </c>
      <c r="C72" s="9" t="s">
        <v>119</v>
      </c>
      <c r="D72" s="9" t="s">
        <v>36</v>
      </c>
      <c r="E72" s="10" t="s">
        <v>57</v>
      </c>
      <c r="F72" s="11" t="s">
        <v>23</v>
      </c>
      <c r="G72" s="22">
        <v>24.5</v>
      </c>
      <c r="H72" s="7"/>
      <c r="I72" s="7">
        <f t="shared" si="5"/>
        <v>0</v>
      </c>
    </row>
    <row r="73" spans="1:9" s="4" customFormat="1" ht="9.75">
      <c r="A73" s="4" t="s">
        <v>21</v>
      </c>
      <c r="B73" s="9">
        <f t="shared" si="6"/>
        <v>52</v>
      </c>
      <c r="C73" s="9" t="s">
        <v>96</v>
      </c>
      <c r="D73" s="9"/>
      <c r="E73" s="10" t="s">
        <v>266</v>
      </c>
      <c r="F73" s="11" t="s">
        <v>25</v>
      </c>
      <c r="G73" s="7">
        <f>37+22</f>
        <v>59</v>
      </c>
      <c r="H73" s="7"/>
      <c r="I73" s="7">
        <f t="shared" si="5"/>
        <v>0</v>
      </c>
    </row>
    <row r="74" spans="2:9" s="3" customFormat="1" ht="9.75">
      <c r="B74" s="81" t="str">
        <f>CONCATENATE("Razem - ",C65)</f>
        <v>Razem - Kapa chodnikowa</v>
      </c>
      <c r="C74" s="82"/>
      <c r="D74" s="82"/>
      <c r="E74" s="82"/>
      <c r="F74" s="82"/>
      <c r="G74" s="82"/>
      <c r="H74" s="82"/>
      <c r="I74" s="17">
        <f>SUM(I66:I73)</f>
        <v>0</v>
      </c>
    </row>
    <row r="75" spans="1:9" s="3" customFormat="1" ht="9.75">
      <c r="A75" s="3" t="s">
        <v>20</v>
      </c>
      <c r="B75" s="26" t="s">
        <v>164</v>
      </c>
      <c r="C75" s="84" t="s">
        <v>58</v>
      </c>
      <c r="D75" s="85"/>
      <c r="E75" s="85"/>
      <c r="F75" s="85"/>
      <c r="G75" s="85"/>
      <c r="H75" s="85"/>
      <c r="I75" s="16"/>
    </row>
    <row r="76" spans="1:9" s="4" customFormat="1" ht="9.75">
      <c r="A76" s="4" t="s">
        <v>21</v>
      </c>
      <c r="B76" s="9">
        <f>B73+1</f>
        <v>53</v>
      </c>
      <c r="C76" s="9" t="s">
        <v>120</v>
      </c>
      <c r="D76" s="9" t="s">
        <v>183</v>
      </c>
      <c r="E76" s="10" t="s">
        <v>59</v>
      </c>
      <c r="F76" s="11" t="s">
        <v>24</v>
      </c>
      <c r="G76" s="22">
        <f>252.1+25*0.7</f>
        <v>269.6</v>
      </c>
      <c r="H76" s="7"/>
      <c r="I76" s="7">
        <f>ROUND(G76*H76,2)</f>
        <v>0</v>
      </c>
    </row>
    <row r="77" spans="1:9" s="4" customFormat="1" ht="20.25">
      <c r="A77" s="4" t="s">
        <v>21</v>
      </c>
      <c r="B77" s="9">
        <f>B76+1</f>
        <v>54</v>
      </c>
      <c r="C77" s="9" t="s">
        <v>120</v>
      </c>
      <c r="D77" s="9"/>
      <c r="E77" s="10" t="s">
        <v>200</v>
      </c>
      <c r="F77" s="11" t="s">
        <v>24</v>
      </c>
      <c r="G77" s="22">
        <f>ROUND(37*2.45+22*0.8,1)</f>
        <v>108.3</v>
      </c>
      <c r="H77" s="7"/>
      <c r="I77" s="7">
        <f>ROUND(G77*H77,2)</f>
        <v>0</v>
      </c>
    </row>
    <row r="78" spans="2:9" s="3" customFormat="1" ht="9.75">
      <c r="B78" s="81" t="str">
        <f>CONCATENATE("Razem - ",C75)</f>
        <v>Razem - Zabezpieczenia antykorozyjne mostu</v>
      </c>
      <c r="C78" s="82"/>
      <c r="D78" s="82"/>
      <c r="E78" s="82"/>
      <c r="F78" s="82"/>
      <c r="G78" s="82"/>
      <c r="H78" s="82"/>
      <c r="I78" s="17">
        <f>SUM(I76:I77)</f>
        <v>0</v>
      </c>
    </row>
    <row r="79" spans="1:9" s="3" customFormat="1" ht="9.75" customHeight="1">
      <c r="A79" s="3" t="s">
        <v>20</v>
      </c>
      <c r="B79" s="26" t="s">
        <v>165</v>
      </c>
      <c r="C79" s="84" t="s">
        <v>60</v>
      </c>
      <c r="D79" s="85"/>
      <c r="E79" s="85"/>
      <c r="F79" s="88"/>
      <c r="G79" s="88"/>
      <c r="H79" s="88"/>
      <c r="I79" s="78"/>
    </row>
    <row r="80" spans="2:10" s="3" customFormat="1" ht="21" customHeight="1">
      <c r="B80" s="9">
        <f>B77+1</f>
        <v>55</v>
      </c>
      <c r="C80" s="9" t="s">
        <v>262</v>
      </c>
      <c r="D80" s="9"/>
      <c r="E80" s="77" t="s">
        <v>263</v>
      </c>
      <c r="F80" s="31" t="s">
        <v>23</v>
      </c>
      <c r="G80" s="68">
        <v>5</v>
      </c>
      <c r="H80" s="7"/>
      <c r="I80" s="7">
        <f aca="true" t="shared" si="7" ref="I80:I85">ROUND(G80*H80,2)</f>
        <v>0</v>
      </c>
      <c r="J80" s="4"/>
    </row>
    <row r="81" spans="2:10" s="3" customFormat="1" ht="9.75" customHeight="1">
      <c r="B81" s="9">
        <f>B80+1</f>
        <v>56</v>
      </c>
      <c r="C81" s="9" t="s">
        <v>261</v>
      </c>
      <c r="D81" s="9"/>
      <c r="E81" s="77" t="s">
        <v>271</v>
      </c>
      <c r="F81" s="31" t="s">
        <v>23</v>
      </c>
      <c r="G81" s="70">
        <f>(1.5*0.5+1*1)*25</f>
        <v>43.75</v>
      </c>
      <c r="H81" s="7"/>
      <c r="I81" s="7">
        <f t="shared" si="7"/>
        <v>0</v>
      </c>
      <c r="J81" s="4"/>
    </row>
    <row r="82" spans="1:11" s="4" customFormat="1" ht="9.75">
      <c r="A82" s="4" t="s">
        <v>21</v>
      </c>
      <c r="B82" s="9">
        <f>B81+1</f>
        <v>57</v>
      </c>
      <c r="C82" s="9" t="s">
        <v>121</v>
      </c>
      <c r="D82" s="9" t="s">
        <v>184</v>
      </c>
      <c r="E82" s="77" t="s">
        <v>272</v>
      </c>
      <c r="F82" s="31" t="s">
        <v>23</v>
      </c>
      <c r="G82" s="68">
        <f>130*0.6</f>
        <v>78</v>
      </c>
      <c r="H82" s="7"/>
      <c r="I82" s="7">
        <f t="shared" si="7"/>
        <v>0</v>
      </c>
      <c r="J82" s="6"/>
      <c r="K82" s="6"/>
    </row>
    <row r="83" spans="1:9" s="4" customFormat="1" ht="30">
      <c r="A83" s="4" t="s">
        <v>21</v>
      </c>
      <c r="B83" s="9">
        <f>B82+1</f>
        <v>58</v>
      </c>
      <c r="C83" s="9" t="s">
        <v>106</v>
      </c>
      <c r="D83" s="9" t="s">
        <v>36</v>
      </c>
      <c r="E83" s="10" t="s">
        <v>130</v>
      </c>
      <c r="F83" s="79" t="s">
        <v>23</v>
      </c>
      <c r="G83" s="80">
        <f>ROUND(0.3*0.8*(26+33),1)</f>
        <v>14.2</v>
      </c>
      <c r="H83" s="7"/>
      <c r="I83" s="7">
        <f t="shared" si="7"/>
        <v>0</v>
      </c>
    </row>
    <row r="84" spans="1:9" s="4" customFormat="1" ht="30">
      <c r="A84" s="4" t="s">
        <v>21</v>
      </c>
      <c r="B84" s="9">
        <f>B83+1</f>
        <v>59</v>
      </c>
      <c r="C84" s="9" t="s">
        <v>122</v>
      </c>
      <c r="D84" s="9" t="s">
        <v>61</v>
      </c>
      <c r="E84" s="10" t="s">
        <v>138</v>
      </c>
      <c r="F84" s="11" t="s">
        <v>24</v>
      </c>
      <c r="G84" s="22">
        <f>ROUND((55.5+150)*1.4,1)</f>
        <v>287.7</v>
      </c>
      <c r="H84" s="7"/>
      <c r="I84" s="7">
        <f t="shared" si="7"/>
        <v>0</v>
      </c>
    </row>
    <row r="85" spans="1:9" s="4" customFormat="1" ht="20.25">
      <c r="A85" s="4" t="s">
        <v>21</v>
      </c>
      <c r="B85" s="9">
        <f>B84+1</f>
        <v>60</v>
      </c>
      <c r="C85" s="9" t="s">
        <v>123</v>
      </c>
      <c r="D85" s="9" t="s">
        <v>61</v>
      </c>
      <c r="E85" s="10" t="s">
        <v>62</v>
      </c>
      <c r="F85" s="11" t="s">
        <v>24</v>
      </c>
      <c r="G85" s="22">
        <f>G84</f>
        <v>287.7</v>
      </c>
      <c r="H85" s="7"/>
      <c r="I85" s="7">
        <f t="shared" si="7"/>
        <v>0</v>
      </c>
    </row>
    <row r="86" spans="2:9" s="3" customFormat="1" ht="9.75">
      <c r="B86" s="81" t="str">
        <f>CONCATENATE("Razem - ",C79)</f>
        <v>Razem - Roboty zabezpieczające most</v>
      </c>
      <c r="C86" s="82"/>
      <c r="D86" s="82"/>
      <c r="E86" s="82"/>
      <c r="F86" s="82"/>
      <c r="G86" s="82"/>
      <c r="H86" s="82"/>
      <c r="I86" s="17">
        <f>SUM(I80:I85)</f>
        <v>0</v>
      </c>
    </row>
    <row r="87" spans="2:9" s="3" customFormat="1" ht="9.75">
      <c r="B87" s="81" t="str">
        <f>CONCATENATE("Razem - ",C4)</f>
        <v>Razem - Most</v>
      </c>
      <c r="C87" s="82"/>
      <c r="D87" s="82"/>
      <c r="E87" s="82"/>
      <c r="F87" s="82"/>
      <c r="G87" s="82"/>
      <c r="H87" s="82"/>
      <c r="I87" s="17">
        <f>SUM(I6:I8,I11:I22,I25:I28,I31:I38,I41:I45,I48:I53,I56:I58,I61:I63,I66:I73,I76:I77,I80:I85)</f>
        <v>0</v>
      </c>
    </row>
    <row r="88" spans="1:9" s="3" customFormat="1" ht="9.75">
      <c r="A88" s="3" t="s">
        <v>20</v>
      </c>
      <c r="B88" s="26" t="s">
        <v>166</v>
      </c>
      <c r="C88" s="84" t="s">
        <v>167</v>
      </c>
      <c r="D88" s="85"/>
      <c r="E88" s="85"/>
      <c r="F88" s="85"/>
      <c r="G88" s="85"/>
      <c r="H88" s="85"/>
      <c r="I88" s="16"/>
    </row>
    <row r="89" spans="1:9" s="3" customFormat="1" ht="9.75">
      <c r="A89" s="3" t="s">
        <v>20</v>
      </c>
      <c r="B89" s="26" t="s">
        <v>168</v>
      </c>
      <c r="C89" s="84" t="s">
        <v>2</v>
      </c>
      <c r="D89" s="85"/>
      <c r="E89" s="85"/>
      <c r="F89" s="85"/>
      <c r="G89" s="85"/>
      <c r="H89" s="85"/>
      <c r="I89" s="16"/>
    </row>
    <row r="90" spans="1:9" s="4" customFormat="1" ht="20.25">
      <c r="A90" s="4" t="s">
        <v>21</v>
      </c>
      <c r="B90" s="9">
        <f>B85+1</f>
        <v>61</v>
      </c>
      <c r="C90" s="9" t="s">
        <v>124</v>
      </c>
      <c r="D90" s="9" t="s">
        <v>185</v>
      </c>
      <c r="E90" s="10" t="s">
        <v>64</v>
      </c>
      <c r="F90" s="11" t="s">
        <v>26</v>
      </c>
      <c r="G90" s="7">
        <v>0.12</v>
      </c>
      <c r="H90" s="7"/>
      <c r="I90" s="7">
        <f>ROUND(G90*H90,2)</f>
        <v>0</v>
      </c>
    </row>
    <row r="91" spans="1:9" s="4" customFormat="1" ht="20.25">
      <c r="A91" s="4" t="s">
        <v>21</v>
      </c>
      <c r="B91" s="9">
        <f>B90+1</f>
        <v>62</v>
      </c>
      <c r="C91" s="9" t="s">
        <v>93</v>
      </c>
      <c r="D91" s="9" t="s">
        <v>32</v>
      </c>
      <c r="E91" s="10" t="s">
        <v>33</v>
      </c>
      <c r="F91" s="11" t="s">
        <v>24</v>
      </c>
      <c r="G91" s="7">
        <v>30</v>
      </c>
      <c r="H91" s="7"/>
      <c r="I91" s="7">
        <f>ROUND(G91*H91,2)</f>
        <v>0</v>
      </c>
    </row>
    <row r="92" spans="2:9" s="3" customFormat="1" ht="9.75">
      <c r="B92" s="81" t="str">
        <f>CONCATENATE("Razem - ",C89)</f>
        <v>Razem - Roboty przygotowawcze</v>
      </c>
      <c r="C92" s="82"/>
      <c r="D92" s="82"/>
      <c r="E92" s="82"/>
      <c r="F92" s="82"/>
      <c r="G92" s="82"/>
      <c r="H92" s="82"/>
      <c r="I92" s="17">
        <f>SUM(I90:I91)</f>
        <v>0</v>
      </c>
    </row>
    <row r="93" spans="1:9" s="3" customFormat="1" ht="9.75">
      <c r="A93" s="3" t="s">
        <v>20</v>
      </c>
      <c r="B93" s="26" t="s">
        <v>169</v>
      </c>
      <c r="C93" s="84" t="s">
        <v>65</v>
      </c>
      <c r="D93" s="85"/>
      <c r="E93" s="85"/>
      <c r="F93" s="85"/>
      <c r="G93" s="85"/>
      <c r="H93" s="85"/>
      <c r="I93" s="16"/>
    </row>
    <row r="94" spans="1:9" s="4" customFormat="1" ht="20.25">
      <c r="A94" s="4" t="s">
        <v>21</v>
      </c>
      <c r="B94" s="9">
        <f>B91+1</f>
        <v>63</v>
      </c>
      <c r="C94" s="62" t="s">
        <v>125</v>
      </c>
      <c r="D94" s="62" t="s">
        <v>66</v>
      </c>
      <c r="E94" s="72" t="s">
        <v>128</v>
      </c>
      <c r="F94" s="73" t="s">
        <v>24</v>
      </c>
      <c r="G94" s="95">
        <f>733-11.5*6.5</f>
        <v>658.25</v>
      </c>
      <c r="H94" s="74"/>
      <c r="I94" s="74">
        <f>ROUND(G94*H94,2)</f>
        <v>0</v>
      </c>
    </row>
    <row r="95" spans="2:9" s="4" customFormat="1" ht="30">
      <c r="B95" s="29">
        <f aca="true" t="shared" si="8" ref="B95:B100">B94+1</f>
        <v>64</v>
      </c>
      <c r="C95" s="66" t="s">
        <v>252</v>
      </c>
      <c r="D95" s="66"/>
      <c r="E95" s="41" t="s">
        <v>251</v>
      </c>
      <c r="F95" s="31" t="s">
        <v>24</v>
      </c>
      <c r="G95" s="32">
        <v>76</v>
      </c>
      <c r="H95" s="32"/>
      <c r="I95" s="74">
        <f aca="true" t="shared" si="9" ref="I95:I100">ROUND(G95*H95,2)</f>
        <v>0</v>
      </c>
    </row>
    <row r="96" spans="2:9" s="4" customFormat="1" ht="30">
      <c r="B96" s="29">
        <f t="shared" si="8"/>
        <v>65</v>
      </c>
      <c r="C96" s="66" t="s">
        <v>249</v>
      </c>
      <c r="D96" s="66"/>
      <c r="E96" s="41" t="s">
        <v>250</v>
      </c>
      <c r="F96" s="31" t="s">
        <v>24</v>
      </c>
      <c r="G96" s="32">
        <v>62</v>
      </c>
      <c r="H96" s="32"/>
      <c r="I96" s="74">
        <f t="shared" si="9"/>
        <v>0</v>
      </c>
    </row>
    <row r="97" spans="2:9" s="4" customFormat="1" ht="9.75">
      <c r="B97" s="29">
        <f t="shared" si="8"/>
        <v>66</v>
      </c>
      <c r="C97" s="9" t="s">
        <v>92</v>
      </c>
      <c r="D97" s="66"/>
      <c r="E97" s="41" t="s">
        <v>248</v>
      </c>
      <c r="F97" s="31" t="s">
        <v>27</v>
      </c>
      <c r="G97" s="32">
        <v>1</v>
      </c>
      <c r="H97" s="32"/>
      <c r="I97" s="74">
        <f t="shared" si="9"/>
        <v>0</v>
      </c>
    </row>
    <row r="98" spans="2:9" s="4" customFormat="1" ht="20.25">
      <c r="B98" s="29">
        <f t="shared" si="8"/>
        <v>67</v>
      </c>
      <c r="C98" s="66" t="s">
        <v>246</v>
      </c>
      <c r="D98" s="66"/>
      <c r="E98" s="41" t="s">
        <v>247</v>
      </c>
      <c r="F98" s="31" t="s">
        <v>25</v>
      </c>
      <c r="G98" s="32">
        <v>42</v>
      </c>
      <c r="H98" s="32"/>
      <c r="I98" s="74">
        <f t="shared" si="9"/>
        <v>0</v>
      </c>
    </row>
    <row r="99" spans="2:9" s="4" customFormat="1" ht="9.75">
      <c r="B99" s="29">
        <f t="shared" si="8"/>
        <v>68</v>
      </c>
      <c r="C99" s="66" t="s">
        <v>245</v>
      </c>
      <c r="D99" s="66"/>
      <c r="E99" s="41" t="s">
        <v>244</v>
      </c>
      <c r="F99" s="31" t="s">
        <v>25</v>
      </c>
      <c r="G99" s="32">
        <v>42</v>
      </c>
      <c r="H99" s="65"/>
      <c r="I99" s="74">
        <f t="shared" si="9"/>
        <v>0</v>
      </c>
    </row>
    <row r="100" spans="2:9" s="4" customFormat="1" ht="9.75">
      <c r="B100" s="29">
        <f t="shared" si="8"/>
        <v>69</v>
      </c>
      <c r="C100" s="66" t="s">
        <v>242</v>
      </c>
      <c r="D100" s="66"/>
      <c r="E100" s="41" t="s">
        <v>243</v>
      </c>
      <c r="F100" s="31" t="s">
        <v>25</v>
      </c>
      <c r="G100" s="32">
        <v>94</v>
      </c>
      <c r="H100" s="32"/>
      <c r="I100" s="32">
        <f t="shared" si="9"/>
        <v>0</v>
      </c>
    </row>
    <row r="101" spans="2:9" s="3" customFormat="1" ht="9.75">
      <c r="B101" s="81" t="str">
        <f>CONCATENATE("Razem - ",C93)</f>
        <v>Razem - Roboty rozbiórkowe</v>
      </c>
      <c r="C101" s="86"/>
      <c r="D101" s="86"/>
      <c r="E101" s="86"/>
      <c r="F101" s="86"/>
      <c r="G101" s="86"/>
      <c r="H101" s="86"/>
      <c r="I101" s="30">
        <f>SUM(I94:I100)</f>
        <v>0</v>
      </c>
    </row>
    <row r="102" spans="1:9" s="3" customFormat="1" ht="9.75">
      <c r="A102" s="3" t="s">
        <v>20</v>
      </c>
      <c r="B102" s="26" t="s">
        <v>170</v>
      </c>
      <c r="C102" s="84" t="s">
        <v>34</v>
      </c>
      <c r="D102" s="85"/>
      <c r="E102" s="85"/>
      <c r="F102" s="85"/>
      <c r="G102" s="85"/>
      <c r="H102" s="85"/>
      <c r="I102" s="16"/>
    </row>
    <row r="103" spans="1:9" s="4" customFormat="1" ht="30">
      <c r="A103" s="4" t="s">
        <v>21</v>
      </c>
      <c r="B103" s="9">
        <f>B100+1</f>
        <v>70</v>
      </c>
      <c r="C103" s="9" t="s">
        <v>98</v>
      </c>
      <c r="D103" s="9" t="s">
        <v>191</v>
      </c>
      <c r="E103" s="10" t="s">
        <v>127</v>
      </c>
      <c r="F103" s="11" t="s">
        <v>23</v>
      </c>
      <c r="G103" s="7">
        <f>410*0.4+69*2+12*5</f>
        <v>362</v>
      </c>
      <c r="H103" s="7"/>
      <c r="I103" s="7">
        <f>ROUND(G103*H103,2)</f>
        <v>0</v>
      </c>
    </row>
    <row r="104" spans="2:9" s="4" customFormat="1" ht="51">
      <c r="B104" s="29">
        <f>B103+1</f>
        <v>71</v>
      </c>
      <c r="C104" s="9" t="s">
        <v>236</v>
      </c>
      <c r="D104" s="9" t="s">
        <v>35</v>
      </c>
      <c r="E104" s="10" t="s">
        <v>281</v>
      </c>
      <c r="F104" s="11" t="s">
        <v>23</v>
      </c>
      <c r="G104" s="7">
        <f>69*2-19+12*2</f>
        <v>143</v>
      </c>
      <c r="H104" s="7"/>
      <c r="I104" s="7">
        <f>ROUND(G104*H104,2)</f>
        <v>0</v>
      </c>
    </row>
    <row r="105" spans="1:9" s="4" customFormat="1" ht="30">
      <c r="A105" s="4" t="s">
        <v>21</v>
      </c>
      <c r="B105" s="9">
        <f>B104+1</f>
        <v>72</v>
      </c>
      <c r="C105" s="9" t="s">
        <v>126</v>
      </c>
      <c r="D105" s="9" t="s">
        <v>191</v>
      </c>
      <c r="E105" s="10" t="s">
        <v>129</v>
      </c>
      <c r="F105" s="11" t="s">
        <v>23</v>
      </c>
      <c r="G105" s="7">
        <v>50</v>
      </c>
      <c r="H105" s="7"/>
      <c r="I105" s="7">
        <f>ROUND(G105*H105,2)</f>
        <v>0</v>
      </c>
    </row>
    <row r="106" spans="2:9" s="3" customFormat="1" ht="9.75">
      <c r="B106" s="81" t="str">
        <f>CONCATENATE("Razem - ",C102)</f>
        <v>Razem - Roboty ziemne</v>
      </c>
      <c r="C106" s="82"/>
      <c r="D106" s="82"/>
      <c r="E106" s="82"/>
      <c r="F106" s="82"/>
      <c r="G106" s="82"/>
      <c r="H106" s="82"/>
      <c r="I106" s="17">
        <f>SUM(I103:I105)</f>
        <v>0</v>
      </c>
    </row>
    <row r="107" spans="2:9" s="3" customFormat="1" ht="9.75">
      <c r="B107" s="26" t="s">
        <v>171</v>
      </c>
      <c r="C107" s="84" t="s">
        <v>273</v>
      </c>
      <c r="D107" s="85"/>
      <c r="E107" s="85"/>
      <c r="F107" s="85"/>
      <c r="G107" s="85"/>
      <c r="H107" s="85"/>
      <c r="I107" s="17"/>
    </row>
    <row r="108" spans="2:9" s="3" customFormat="1" ht="9.75">
      <c r="B108" s="105">
        <f>B105+1</f>
        <v>73</v>
      </c>
      <c r="C108" s="9" t="s">
        <v>225</v>
      </c>
      <c r="D108" s="9" t="s">
        <v>226</v>
      </c>
      <c r="E108" s="10" t="s">
        <v>227</v>
      </c>
      <c r="F108" s="11" t="s">
        <v>23</v>
      </c>
      <c r="G108" s="32">
        <f>(69+7.5)*0.5*0.5</f>
        <v>19.125</v>
      </c>
      <c r="H108" s="32"/>
      <c r="I108" s="7">
        <f aca="true" t="shared" si="10" ref="I108:I113">ROUND(G108*H108,2)</f>
        <v>0</v>
      </c>
    </row>
    <row r="109" spans="2:9" s="3" customFormat="1" ht="20.25">
      <c r="B109" s="105">
        <f>B108+1</f>
        <v>74</v>
      </c>
      <c r="C109" s="9" t="s">
        <v>228</v>
      </c>
      <c r="D109" s="9" t="s">
        <v>226</v>
      </c>
      <c r="E109" s="10" t="s">
        <v>229</v>
      </c>
      <c r="F109" s="11" t="s">
        <v>25</v>
      </c>
      <c r="G109" s="32">
        <f>5*1.5</f>
        <v>7.5</v>
      </c>
      <c r="H109" s="32"/>
      <c r="I109" s="7">
        <f t="shared" si="10"/>
        <v>0</v>
      </c>
    </row>
    <row r="110" spans="2:9" s="3" customFormat="1" ht="20.25">
      <c r="B110" s="105">
        <f>B109+1</f>
        <v>75</v>
      </c>
      <c r="C110" s="9" t="s">
        <v>230</v>
      </c>
      <c r="D110" s="9" t="s">
        <v>226</v>
      </c>
      <c r="E110" s="10" t="s">
        <v>234</v>
      </c>
      <c r="F110" s="11" t="s">
        <v>25</v>
      </c>
      <c r="G110" s="32">
        <f>23+17+2+4+19+1+3</f>
        <v>69</v>
      </c>
      <c r="H110" s="32"/>
      <c r="I110" s="7">
        <f t="shared" si="10"/>
        <v>0</v>
      </c>
    </row>
    <row r="111" spans="2:9" s="3" customFormat="1" ht="20.25">
      <c r="B111" s="105">
        <f>B110+1</f>
        <v>76</v>
      </c>
      <c r="C111" s="9" t="s">
        <v>223</v>
      </c>
      <c r="D111" s="9" t="s">
        <v>226</v>
      </c>
      <c r="E111" s="10" t="s">
        <v>224</v>
      </c>
      <c r="F111" s="11" t="s">
        <v>27</v>
      </c>
      <c r="G111" s="32">
        <v>5</v>
      </c>
      <c r="H111" s="32"/>
      <c r="I111" s="7">
        <f t="shared" si="10"/>
        <v>0</v>
      </c>
    </row>
    <row r="112" spans="2:9" s="3" customFormat="1" ht="30">
      <c r="B112" s="105">
        <f>B111+1</f>
        <v>77</v>
      </c>
      <c r="C112" s="9" t="s">
        <v>231</v>
      </c>
      <c r="D112" s="9" t="s">
        <v>226</v>
      </c>
      <c r="E112" s="10" t="s">
        <v>232</v>
      </c>
      <c r="F112" s="11" t="s">
        <v>233</v>
      </c>
      <c r="G112" s="32">
        <v>5</v>
      </c>
      <c r="H112" s="32"/>
      <c r="I112" s="7">
        <f t="shared" si="10"/>
        <v>0</v>
      </c>
    </row>
    <row r="113" spans="2:9" s="3" customFormat="1" ht="30">
      <c r="B113" s="105">
        <f>B112+1</f>
        <v>78</v>
      </c>
      <c r="C113" s="9" t="s">
        <v>237</v>
      </c>
      <c r="D113" s="21"/>
      <c r="E113" s="10" t="s">
        <v>238</v>
      </c>
      <c r="F113" s="11" t="s">
        <v>27</v>
      </c>
      <c r="G113" s="32">
        <v>2</v>
      </c>
      <c r="H113" s="32"/>
      <c r="I113" s="7">
        <f t="shared" si="10"/>
        <v>0</v>
      </c>
    </row>
    <row r="114" spans="2:9" s="3" customFormat="1" ht="9.75">
      <c r="B114" s="81" t="str">
        <f>CONCATENATE("Razem - ",C107)</f>
        <v>Razem - Odwodnienie</v>
      </c>
      <c r="C114" s="82"/>
      <c r="D114" s="82"/>
      <c r="E114" s="82"/>
      <c r="F114" s="82"/>
      <c r="G114" s="82"/>
      <c r="H114" s="82"/>
      <c r="I114" s="17">
        <f>SUM(I108:I113)</f>
        <v>0</v>
      </c>
    </row>
    <row r="115" spans="2:9" s="3" customFormat="1" ht="9.75">
      <c r="B115" s="26" t="s">
        <v>171</v>
      </c>
      <c r="C115" s="84" t="s">
        <v>276</v>
      </c>
      <c r="D115" s="88"/>
      <c r="E115" s="85"/>
      <c r="F115" s="85"/>
      <c r="G115" s="85"/>
      <c r="H115" s="85"/>
      <c r="I115" s="17"/>
    </row>
    <row r="116" spans="2:9" s="3" customFormat="1" ht="30">
      <c r="B116" s="105">
        <f>B113+1</f>
        <v>79</v>
      </c>
      <c r="C116" s="106" t="s">
        <v>277</v>
      </c>
      <c r="D116" s="108"/>
      <c r="E116" s="107" t="s">
        <v>278</v>
      </c>
      <c r="F116" s="33" t="s">
        <v>25</v>
      </c>
      <c r="G116" s="33">
        <f>109-22</f>
        <v>87</v>
      </c>
      <c r="H116" s="32"/>
      <c r="I116" s="7">
        <f>ROUND(G116*H116,2)</f>
        <v>0</v>
      </c>
    </row>
    <row r="117" spans="2:9" s="3" customFormat="1" ht="20.25">
      <c r="B117" s="105">
        <f>B116+1</f>
        <v>80</v>
      </c>
      <c r="C117" s="106" t="s">
        <v>279</v>
      </c>
      <c r="D117" s="108"/>
      <c r="E117" s="107" t="s">
        <v>280</v>
      </c>
      <c r="F117" s="33" t="s">
        <v>235</v>
      </c>
      <c r="G117" s="33">
        <v>4</v>
      </c>
      <c r="H117" s="32"/>
      <c r="I117" s="7">
        <f>ROUND(G117*H117,2)</f>
        <v>0</v>
      </c>
    </row>
    <row r="118" spans="2:9" s="3" customFormat="1" ht="9.75">
      <c r="B118" s="81" t="str">
        <f>CONCATENATE("Razem - ",C115)</f>
        <v>Razem - Kanał technologiczny</v>
      </c>
      <c r="C118" s="82"/>
      <c r="D118" s="86"/>
      <c r="E118" s="82"/>
      <c r="F118" s="82"/>
      <c r="G118" s="82"/>
      <c r="H118" s="82"/>
      <c r="I118" s="17">
        <f>SUM(I116:I117)</f>
        <v>0</v>
      </c>
    </row>
    <row r="119" spans="1:9" s="3" customFormat="1" ht="9.75">
      <c r="A119" s="3" t="s">
        <v>20</v>
      </c>
      <c r="B119" s="26" t="s">
        <v>172</v>
      </c>
      <c r="C119" s="84" t="s">
        <v>67</v>
      </c>
      <c r="D119" s="85"/>
      <c r="E119" s="85"/>
      <c r="F119" s="85"/>
      <c r="G119" s="85"/>
      <c r="H119" s="85"/>
      <c r="I119" s="16"/>
    </row>
    <row r="120" spans="1:12" s="4" customFormat="1" ht="20.25">
      <c r="A120" s="4" t="s">
        <v>21</v>
      </c>
      <c r="B120" s="9">
        <f>B117+1</f>
        <v>81</v>
      </c>
      <c r="C120" s="9" t="s">
        <v>139</v>
      </c>
      <c r="D120" s="9" t="s">
        <v>186</v>
      </c>
      <c r="E120" s="10" t="s">
        <v>187</v>
      </c>
      <c r="F120" s="11" t="s">
        <v>24</v>
      </c>
      <c r="G120" s="98">
        <f>(30+20)*8.2</f>
        <v>409.99999999999994</v>
      </c>
      <c r="H120" s="7"/>
      <c r="I120" s="61">
        <f>ROUND(G120*H120,2)</f>
        <v>0</v>
      </c>
      <c r="L120" s="96"/>
    </row>
    <row r="121" spans="1:9" s="4" customFormat="1" ht="20.25">
      <c r="A121" s="4" t="s">
        <v>21</v>
      </c>
      <c r="B121" s="9">
        <f>B120+1</f>
        <v>82</v>
      </c>
      <c r="C121" s="9" t="s">
        <v>140</v>
      </c>
      <c r="D121" s="9" t="s">
        <v>190</v>
      </c>
      <c r="E121" s="10" t="s">
        <v>188</v>
      </c>
      <c r="F121" s="11" t="s">
        <v>24</v>
      </c>
      <c r="G121" s="98">
        <f>ROUND(99.31*7.1-(6+9)*6.6,2)</f>
        <v>606.1</v>
      </c>
      <c r="H121" s="7"/>
      <c r="I121" s="61">
        <f>ROUND(G121*H121,2)</f>
        <v>0</v>
      </c>
    </row>
    <row r="122" spans="1:9" s="4" customFormat="1" ht="9.75">
      <c r="A122" s="4" t="s">
        <v>21</v>
      </c>
      <c r="B122" s="9">
        <f>B121+1</f>
        <v>83</v>
      </c>
      <c r="C122" s="9" t="s">
        <v>141</v>
      </c>
      <c r="D122" s="9" t="s">
        <v>189</v>
      </c>
      <c r="E122" s="10" t="s">
        <v>68</v>
      </c>
      <c r="F122" s="11" t="s">
        <v>24</v>
      </c>
      <c r="G122" s="98">
        <f>ROUND(99.31*6.6-2*2*6,2)</f>
        <v>631.45</v>
      </c>
      <c r="H122" s="7"/>
      <c r="I122" s="7">
        <f>ROUND(G122*H122,2)</f>
        <v>0</v>
      </c>
    </row>
    <row r="123" spans="2:9" s="3" customFormat="1" ht="9.75">
      <c r="B123" s="81" t="str">
        <f>CONCATENATE("Razem - ",C119)</f>
        <v>Razem - Podbudowy</v>
      </c>
      <c r="C123" s="82"/>
      <c r="D123" s="82"/>
      <c r="E123" s="82"/>
      <c r="F123" s="82"/>
      <c r="G123" s="82"/>
      <c r="H123" s="82"/>
      <c r="I123" s="17">
        <f>SUM(I120:I122)</f>
        <v>0</v>
      </c>
    </row>
    <row r="124" spans="1:9" s="3" customFormat="1" ht="9.75">
      <c r="A124" s="3" t="s">
        <v>20</v>
      </c>
      <c r="B124" s="26" t="s">
        <v>173</v>
      </c>
      <c r="C124" s="84" t="s">
        <v>69</v>
      </c>
      <c r="D124" s="85"/>
      <c r="E124" s="85"/>
      <c r="F124" s="85"/>
      <c r="G124" s="85"/>
      <c r="H124" s="85"/>
      <c r="I124" s="16"/>
    </row>
    <row r="125" spans="1:9" s="4" customFormat="1" ht="20.25">
      <c r="A125" s="4" t="s">
        <v>21</v>
      </c>
      <c r="B125" s="9">
        <f>B122+1</f>
        <v>84</v>
      </c>
      <c r="C125" s="9" t="s">
        <v>142</v>
      </c>
      <c r="D125" s="9" t="s">
        <v>70</v>
      </c>
      <c r="E125" s="10" t="s">
        <v>145</v>
      </c>
      <c r="F125" s="11" t="s">
        <v>24</v>
      </c>
      <c r="G125" s="7">
        <f>G126</f>
        <v>638.48</v>
      </c>
      <c r="H125" s="7"/>
      <c r="I125" s="7">
        <f>ROUND(G125*H125,2)</f>
        <v>0</v>
      </c>
    </row>
    <row r="126" spans="1:9" s="4" customFormat="1" ht="20.25">
      <c r="A126" s="4" t="s">
        <v>21</v>
      </c>
      <c r="B126" s="9">
        <f>B125+1</f>
        <v>85</v>
      </c>
      <c r="C126" s="9" t="s">
        <v>143</v>
      </c>
      <c r="D126" s="9" t="s">
        <v>71</v>
      </c>
      <c r="E126" s="10" t="s">
        <v>72</v>
      </c>
      <c r="F126" s="11" t="s">
        <v>24</v>
      </c>
      <c r="G126" s="7">
        <f>ROUND(99.31*6.55-2*6*1,2)</f>
        <v>638.48</v>
      </c>
      <c r="H126" s="7"/>
      <c r="I126" s="7">
        <f>ROUND(G126*H126,2)</f>
        <v>0</v>
      </c>
    </row>
    <row r="127" spans="1:9" s="4" customFormat="1" ht="20.25">
      <c r="A127" s="4" t="s">
        <v>21</v>
      </c>
      <c r="B127" s="9">
        <f>B126+1</f>
        <v>86</v>
      </c>
      <c r="C127" s="9" t="s">
        <v>144</v>
      </c>
      <c r="D127" s="9" t="s">
        <v>70</v>
      </c>
      <c r="E127" s="10" t="s">
        <v>145</v>
      </c>
      <c r="F127" s="11" t="s">
        <v>24</v>
      </c>
      <c r="G127" s="7">
        <f>G128</f>
        <v>645</v>
      </c>
      <c r="H127" s="7"/>
      <c r="I127" s="7">
        <f>ROUND(G127*H127,2)</f>
        <v>0</v>
      </c>
    </row>
    <row r="128" spans="1:9" s="4" customFormat="1" ht="9.75">
      <c r="A128" s="4" t="s">
        <v>21</v>
      </c>
      <c r="B128" s="9">
        <f>B127+1</f>
        <v>87</v>
      </c>
      <c r="C128" s="9" t="s">
        <v>116</v>
      </c>
      <c r="D128" s="9" t="s">
        <v>50</v>
      </c>
      <c r="E128" s="10" t="s">
        <v>73</v>
      </c>
      <c r="F128" s="11" t="s">
        <v>24</v>
      </c>
      <c r="G128" s="7">
        <f>770-125</f>
        <v>645</v>
      </c>
      <c r="H128" s="7"/>
      <c r="I128" s="7">
        <f>ROUND(G128*H128,2)</f>
        <v>0</v>
      </c>
    </row>
    <row r="129" spans="2:9" s="3" customFormat="1" ht="9.75">
      <c r="B129" s="81" t="str">
        <f>CONCATENATE("Razem - ",C124)</f>
        <v>Razem - Nawierzchnia</v>
      </c>
      <c r="C129" s="82"/>
      <c r="D129" s="82"/>
      <c r="E129" s="82"/>
      <c r="F129" s="82"/>
      <c r="G129" s="82"/>
      <c r="H129" s="82"/>
      <c r="I129" s="17">
        <f>SUM(I125:I128)</f>
        <v>0</v>
      </c>
    </row>
    <row r="130" spans="1:9" s="3" customFormat="1" ht="9.75">
      <c r="A130" s="3" t="s">
        <v>20</v>
      </c>
      <c r="B130" s="26" t="s">
        <v>174</v>
      </c>
      <c r="C130" s="87" t="s">
        <v>3</v>
      </c>
      <c r="D130" s="88"/>
      <c r="E130" s="88"/>
      <c r="F130" s="85"/>
      <c r="G130" s="85"/>
      <c r="H130" s="85"/>
      <c r="I130" s="16"/>
    </row>
    <row r="131" spans="1:9" s="4" customFormat="1" ht="20.25">
      <c r="A131" s="4" t="s">
        <v>21</v>
      </c>
      <c r="B131" s="9">
        <f>B128+1</f>
        <v>88</v>
      </c>
      <c r="C131" s="9" t="s">
        <v>140</v>
      </c>
      <c r="D131" s="9" t="s">
        <v>190</v>
      </c>
      <c r="E131" s="10" t="s">
        <v>188</v>
      </c>
      <c r="F131" s="11" t="s">
        <v>24</v>
      </c>
      <c r="G131" s="7">
        <v>15</v>
      </c>
      <c r="H131" s="7"/>
      <c r="I131" s="7">
        <f>ROUND(G131*H131,2)</f>
        <v>0</v>
      </c>
    </row>
    <row r="132" spans="2:9" s="4" customFormat="1" ht="20.25">
      <c r="B132" s="9">
        <f>B131+1</f>
        <v>89</v>
      </c>
      <c r="C132" s="9" t="s">
        <v>143</v>
      </c>
      <c r="D132" s="9" t="s">
        <v>71</v>
      </c>
      <c r="E132" s="10" t="s">
        <v>72</v>
      </c>
      <c r="F132" s="11" t="s">
        <v>24</v>
      </c>
      <c r="G132" s="7">
        <v>13</v>
      </c>
      <c r="H132" s="7"/>
      <c r="I132" s="7">
        <f>ROUND(G132*H132,2)</f>
        <v>0</v>
      </c>
    </row>
    <row r="133" spans="2:9" s="4" customFormat="1" ht="20.25">
      <c r="B133" s="9">
        <f>B132+1</f>
        <v>90</v>
      </c>
      <c r="C133" s="9" t="s">
        <v>142</v>
      </c>
      <c r="D133" s="9" t="s">
        <v>70</v>
      </c>
      <c r="E133" s="10" t="s">
        <v>145</v>
      </c>
      <c r="F133" s="11" t="s">
        <v>24</v>
      </c>
      <c r="G133" s="7">
        <v>13</v>
      </c>
      <c r="H133" s="7"/>
      <c r="I133" s="7">
        <f>ROUND(G133*H133,2)</f>
        <v>0</v>
      </c>
    </row>
    <row r="134" spans="1:9" s="4" customFormat="1" ht="9.75">
      <c r="A134" s="4" t="s">
        <v>21</v>
      </c>
      <c r="B134" s="9">
        <f>B133+1</f>
        <v>91</v>
      </c>
      <c r="C134" s="62" t="s">
        <v>116</v>
      </c>
      <c r="D134" s="62" t="s">
        <v>74</v>
      </c>
      <c r="E134" s="72" t="s">
        <v>213</v>
      </c>
      <c r="F134" s="73" t="s">
        <v>24</v>
      </c>
      <c r="G134" s="74">
        <v>13</v>
      </c>
      <c r="H134" s="74"/>
      <c r="I134" s="74">
        <f>ROUND(G134*H134,2)</f>
        <v>0</v>
      </c>
    </row>
    <row r="135" spans="2:10" s="4" customFormat="1" ht="20.25">
      <c r="B135" s="9">
        <f>B134+1</f>
        <v>92</v>
      </c>
      <c r="C135" s="66" t="s">
        <v>239</v>
      </c>
      <c r="D135" s="66"/>
      <c r="E135" s="41" t="s">
        <v>260</v>
      </c>
      <c r="F135" s="31" t="s">
        <v>24</v>
      </c>
      <c r="G135" s="32">
        <v>20</v>
      </c>
      <c r="H135" s="32"/>
      <c r="I135" s="32">
        <f>ROUND(G135*H135,2)</f>
        <v>0</v>
      </c>
      <c r="J135" s="3"/>
    </row>
    <row r="136" spans="2:9" s="3" customFormat="1" ht="9.75">
      <c r="B136" s="81" t="str">
        <f>CONCATENATE("Razem - ",C130)</f>
        <v>Razem - Zjazdy</v>
      </c>
      <c r="C136" s="86"/>
      <c r="D136" s="86"/>
      <c r="E136" s="86"/>
      <c r="F136" s="86"/>
      <c r="G136" s="86"/>
      <c r="H136" s="86"/>
      <c r="I136" s="30">
        <f>SUM(I131:I135)</f>
        <v>0</v>
      </c>
    </row>
    <row r="137" spans="1:9" s="3" customFormat="1" ht="9.75">
      <c r="A137" s="3" t="s">
        <v>20</v>
      </c>
      <c r="B137" s="26" t="s">
        <v>175</v>
      </c>
      <c r="C137" s="84" t="s">
        <v>75</v>
      </c>
      <c r="D137" s="85"/>
      <c r="E137" s="85"/>
      <c r="F137" s="85"/>
      <c r="G137" s="85"/>
      <c r="H137" s="85"/>
      <c r="I137" s="16"/>
    </row>
    <row r="138" spans="1:9" s="4" customFormat="1" ht="20.25">
      <c r="A138" s="4" t="s">
        <v>21</v>
      </c>
      <c r="B138" s="9">
        <f>B134+1</f>
        <v>92</v>
      </c>
      <c r="C138" s="9" t="s">
        <v>146</v>
      </c>
      <c r="D138" s="34" t="s">
        <v>192</v>
      </c>
      <c r="E138" s="10" t="s">
        <v>76</v>
      </c>
      <c r="F138" s="11" t="s">
        <v>24</v>
      </c>
      <c r="G138" s="7">
        <v>95</v>
      </c>
      <c r="H138" s="7"/>
      <c r="I138" s="7">
        <f>ROUND(G138*H138,2)</f>
        <v>0</v>
      </c>
    </row>
    <row r="139" spans="1:9" s="4" customFormat="1" ht="20.25">
      <c r="A139" s="4" t="s">
        <v>21</v>
      </c>
      <c r="B139" s="9">
        <f>B138+1</f>
        <v>93</v>
      </c>
      <c r="C139" s="9" t="s">
        <v>147</v>
      </c>
      <c r="D139" s="34" t="s">
        <v>192</v>
      </c>
      <c r="E139" s="10" t="s">
        <v>77</v>
      </c>
      <c r="F139" s="11" t="s">
        <v>24</v>
      </c>
      <c r="G139" s="7">
        <f>G138</f>
        <v>95</v>
      </c>
      <c r="H139" s="7"/>
      <c r="I139" s="7">
        <f>ROUND(G139*H139,2)</f>
        <v>0</v>
      </c>
    </row>
    <row r="140" spans="2:9" s="3" customFormat="1" ht="9.75">
      <c r="B140" s="81" t="str">
        <f>CONCATENATE("Razem - ",C137)</f>
        <v>Razem - Pobocza</v>
      </c>
      <c r="C140" s="82"/>
      <c r="D140" s="82"/>
      <c r="E140" s="82"/>
      <c r="F140" s="82"/>
      <c r="G140" s="82"/>
      <c r="H140" s="82"/>
      <c r="I140" s="17">
        <f>SUM(I138:I139)</f>
        <v>0</v>
      </c>
    </row>
    <row r="141" spans="1:9" s="3" customFormat="1" ht="9.75">
      <c r="A141" s="3" t="s">
        <v>20</v>
      </c>
      <c r="B141" s="26" t="s">
        <v>201</v>
      </c>
      <c r="C141" s="84" t="s">
        <v>78</v>
      </c>
      <c r="D141" s="85"/>
      <c r="E141" s="85"/>
      <c r="F141" s="85"/>
      <c r="G141" s="85"/>
      <c r="H141" s="88"/>
      <c r="I141" s="78"/>
    </row>
    <row r="142" spans="1:9" s="4" customFormat="1" ht="9.75">
      <c r="A142" s="4" t="s">
        <v>21</v>
      </c>
      <c r="B142" s="9">
        <f>B139+1</f>
        <v>94</v>
      </c>
      <c r="C142" s="62" t="s">
        <v>148</v>
      </c>
      <c r="D142" s="62" t="s">
        <v>79</v>
      </c>
      <c r="E142" s="72" t="s">
        <v>193</v>
      </c>
      <c r="F142" s="73" t="s">
        <v>25</v>
      </c>
      <c r="G142" s="101">
        <f>4+27+32</f>
        <v>63</v>
      </c>
      <c r="H142" s="32"/>
      <c r="I142" s="74">
        <f>ROUND(G142*H142,2)</f>
        <v>0</v>
      </c>
    </row>
    <row r="143" spans="2:9" s="4" customFormat="1" ht="9.75">
      <c r="B143" s="29"/>
      <c r="C143" s="66" t="s">
        <v>241</v>
      </c>
      <c r="D143" s="66"/>
      <c r="E143" s="41" t="s">
        <v>258</v>
      </c>
      <c r="F143" s="31" t="s">
        <v>25</v>
      </c>
      <c r="G143" s="102">
        <f>12.6+39</f>
        <v>51.6</v>
      </c>
      <c r="H143" s="32"/>
      <c r="I143" s="74">
        <f>ROUND(G143*H143,2)</f>
        <v>0</v>
      </c>
    </row>
    <row r="144" spans="2:9" s="4" customFormat="1" ht="9.75">
      <c r="B144" s="29"/>
      <c r="C144" s="66" t="s">
        <v>241</v>
      </c>
      <c r="D144" s="66"/>
      <c r="E144" s="41" t="s">
        <v>259</v>
      </c>
      <c r="F144" s="31" t="s">
        <v>25</v>
      </c>
      <c r="G144" s="102">
        <v>25.4</v>
      </c>
      <c r="H144" s="32"/>
      <c r="I144" s="32">
        <f>ROUND(G144*H144,2)</f>
        <v>0</v>
      </c>
    </row>
    <row r="145" spans="2:9" s="3" customFormat="1" ht="9.75">
      <c r="B145" s="81" t="str">
        <f>CONCATENATE("Razem - ",C141)</f>
        <v>Razem - Elementy zabezpieczające</v>
      </c>
      <c r="C145" s="86"/>
      <c r="D145" s="86"/>
      <c r="E145" s="86"/>
      <c r="F145" s="86"/>
      <c r="G145" s="86"/>
      <c r="H145" s="86"/>
      <c r="I145" s="30">
        <f>SUM(I142)</f>
        <v>0</v>
      </c>
    </row>
    <row r="146" spans="1:9" s="3" customFormat="1" ht="9.75">
      <c r="A146" s="3" t="s">
        <v>20</v>
      </c>
      <c r="B146" s="26" t="s">
        <v>274</v>
      </c>
      <c r="C146" s="84" t="s">
        <v>80</v>
      </c>
      <c r="D146" s="85"/>
      <c r="E146" s="85"/>
      <c r="F146" s="85"/>
      <c r="G146" s="85"/>
      <c r="H146" s="85"/>
      <c r="I146" s="16"/>
    </row>
    <row r="147" spans="1:9" s="4" customFormat="1" ht="9.75">
      <c r="A147" s="4" t="s">
        <v>21</v>
      </c>
      <c r="B147" s="9">
        <f>B142+1</f>
        <v>95</v>
      </c>
      <c r="C147" s="9" t="s">
        <v>149</v>
      </c>
      <c r="D147" s="9" t="s">
        <v>82</v>
      </c>
      <c r="E147" s="10" t="s">
        <v>81</v>
      </c>
      <c r="F147" s="11" t="s">
        <v>24</v>
      </c>
      <c r="G147" s="7">
        <f>2*15*4</f>
        <v>120</v>
      </c>
      <c r="H147" s="7"/>
      <c r="I147" s="7">
        <f>ROUND(G147*H147,2)</f>
        <v>0</v>
      </c>
    </row>
    <row r="148" spans="1:9" s="4" customFormat="1" ht="20.25">
      <c r="A148" s="4" t="s">
        <v>21</v>
      </c>
      <c r="B148" s="9">
        <f>B147+1</f>
        <v>96</v>
      </c>
      <c r="C148" s="9" t="s">
        <v>150</v>
      </c>
      <c r="D148" s="9" t="s">
        <v>82</v>
      </c>
      <c r="E148" s="10" t="s">
        <v>83</v>
      </c>
      <c r="F148" s="11" t="s">
        <v>24</v>
      </c>
      <c r="G148" s="7">
        <f>G147</f>
        <v>120</v>
      </c>
      <c r="H148" s="7"/>
      <c r="I148" s="7">
        <f>ROUND(G148*H148,2)</f>
        <v>0</v>
      </c>
    </row>
    <row r="149" spans="2:9" s="3" customFormat="1" ht="9.75">
      <c r="B149" s="81" t="str">
        <f>CONCATENATE("Razem - ",C146)</f>
        <v>Razem - Roboty wykończeniowe</v>
      </c>
      <c r="C149" s="82"/>
      <c r="D149" s="82"/>
      <c r="E149" s="82"/>
      <c r="F149" s="82"/>
      <c r="G149" s="82"/>
      <c r="H149" s="82"/>
      <c r="I149" s="17">
        <f>SUM(I147:I148)</f>
        <v>0</v>
      </c>
    </row>
    <row r="150" spans="1:9" s="3" customFormat="1" ht="9.75">
      <c r="A150" s="3" t="s">
        <v>20</v>
      </c>
      <c r="B150" s="26" t="s">
        <v>275</v>
      </c>
      <c r="C150" s="84" t="s">
        <v>84</v>
      </c>
      <c r="D150" s="85"/>
      <c r="E150" s="85"/>
      <c r="F150" s="85"/>
      <c r="G150" s="85"/>
      <c r="H150" s="85"/>
      <c r="I150" s="16"/>
    </row>
    <row r="151" spans="1:9" s="4" customFormat="1" ht="9.75">
      <c r="A151" s="4" t="s">
        <v>21</v>
      </c>
      <c r="B151" s="9">
        <f>B148+1</f>
        <v>97</v>
      </c>
      <c r="C151" s="9" t="s">
        <v>151</v>
      </c>
      <c r="D151" s="9" t="s">
        <v>85</v>
      </c>
      <c r="E151" s="10" t="s">
        <v>86</v>
      </c>
      <c r="F151" s="11" t="s">
        <v>27</v>
      </c>
      <c r="G151" s="7">
        <v>8</v>
      </c>
      <c r="H151" s="7"/>
      <c r="I151" s="7">
        <f>ROUND(G151*H151,2)</f>
        <v>0</v>
      </c>
    </row>
    <row r="152" spans="1:9" s="4" customFormat="1" ht="20.25">
      <c r="A152" s="4" t="s">
        <v>21</v>
      </c>
      <c r="B152" s="9">
        <f>B151+1</f>
        <v>98</v>
      </c>
      <c r="C152" s="9" t="s">
        <v>152</v>
      </c>
      <c r="D152" s="9" t="s">
        <v>85</v>
      </c>
      <c r="E152" s="10" t="s">
        <v>153</v>
      </c>
      <c r="F152" s="11" t="s">
        <v>27</v>
      </c>
      <c r="G152" s="7">
        <v>8</v>
      </c>
      <c r="H152" s="7"/>
      <c r="I152" s="7">
        <f>ROUND(G152*H152,2)</f>
        <v>0</v>
      </c>
    </row>
    <row r="153" spans="1:9" s="4" customFormat="1" ht="20.25">
      <c r="A153" s="4" t="s">
        <v>21</v>
      </c>
      <c r="B153" s="9">
        <f>B152+1</f>
        <v>99</v>
      </c>
      <c r="C153" s="9" t="s">
        <v>195</v>
      </c>
      <c r="D153" s="9" t="s">
        <v>87</v>
      </c>
      <c r="E153" s="10" t="s">
        <v>194</v>
      </c>
      <c r="F153" s="11" t="s">
        <v>24</v>
      </c>
      <c r="G153" s="97">
        <f>ROUND((36.5+87)*0.12*2+1*0.24+(34.5+7+26.5+3+35.5+60.7)*0.12,1)</f>
        <v>49.9</v>
      </c>
      <c r="H153" s="7"/>
      <c r="I153" s="7">
        <f>ROUND(G153*H153,2)</f>
        <v>0</v>
      </c>
    </row>
    <row r="154" spans="2:9" s="3" customFormat="1" ht="9.75">
      <c r="B154" s="81" t="str">
        <f>CONCATENATE("Razem - ",C150)</f>
        <v>Razem - Oznakowanie pionowe</v>
      </c>
      <c r="C154" s="82"/>
      <c r="D154" s="82"/>
      <c r="E154" s="82"/>
      <c r="F154" s="82"/>
      <c r="G154" s="82"/>
      <c r="H154" s="82"/>
      <c r="I154" s="17">
        <f>SUM(I151:I153)</f>
        <v>0</v>
      </c>
    </row>
    <row r="155" spans="2:9" s="3" customFormat="1" ht="11.25" customHeight="1">
      <c r="B155" s="81" t="str">
        <f>CONCATENATE("Razem - ",C88)</f>
        <v>Razem - Dojazd do mostu</v>
      </c>
      <c r="C155" s="82"/>
      <c r="D155" s="82"/>
      <c r="E155" s="82"/>
      <c r="F155" s="82"/>
      <c r="G155" s="82"/>
      <c r="H155" s="82"/>
      <c r="I155" s="17">
        <f>SUM(I90:I91,I94:I100,I103:I105,I108:I113,I116:I117,I120:I122,I125:I128,I131:I135,I138:I139,I142:I144,I147:I148,I151:I153)</f>
        <v>0</v>
      </c>
    </row>
    <row r="156" spans="2:9" s="5" customFormat="1" ht="12.75">
      <c r="B156" s="18"/>
      <c r="C156" s="18"/>
      <c r="D156" s="18"/>
      <c r="E156" s="18"/>
      <c r="F156" s="19"/>
      <c r="G156" s="83" t="s">
        <v>88</v>
      </c>
      <c r="H156" s="83"/>
      <c r="I156" s="20">
        <f>SUM(I6:I8,I11:I22,I25:I28,I31:I38,I41:I45,I48:I53,I56:I58,I61:I63,I66:I73,I76:I77,I80:I85,I90:I91,I94:I100,I103:I105,I108:I113,I116:I117,I120:I122,I125:I128,I131:I135,I138:I139,I142:I144,I147:I148,I151:I153)</f>
        <v>0</v>
      </c>
    </row>
    <row r="157" spans="2:9" s="5" customFormat="1" ht="12.75">
      <c r="B157" s="18"/>
      <c r="C157" s="18"/>
      <c r="D157" s="18"/>
      <c r="E157" s="18"/>
      <c r="F157" s="19"/>
      <c r="G157" s="83" t="s">
        <v>89</v>
      </c>
      <c r="H157" s="83"/>
      <c r="I157" s="20">
        <f>I156*0.23</f>
        <v>0</v>
      </c>
    </row>
    <row r="158" spans="2:9" s="5" customFormat="1" ht="12.75">
      <c r="B158" s="18"/>
      <c r="C158" s="18"/>
      <c r="D158" s="18"/>
      <c r="E158" s="18"/>
      <c r="F158" s="19"/>
      <c r="G158" s="83" t="s">
        <v>90</v>
      </c>
      <c r="H158" s="83"/>
      <c r="I158" s="20">
        <f>I156+I157</f>
        <v>0</v>
      </c>
    </row>
    <row r="159" spans="11:13" ht="12.75">
      <c r="K159" s="35"/>
      <c r="M159" s="13"/>
    </row>
    <row r="160" spans="1:11" ht="12.75">
      <c r="A160" s="2"/>
      <c r="B160" s="2"/>
      <c r="C160" s="2"/>
      <c r="D160" s="2"/>
      <c r="E160" s="35"/>
      <c r="F160" s="36"/>
      <c r="G160" s="35"/>
      <c r="I160" s="37"/>
      <c r="J160" s="38"/>
      <c r="K160" s="38"/>
    </row>
    <row r="161" spans="1:18" ht="12.75">
      <c r="A161" s="2"/>
      <c r="B161" s="2"/>
      <c r="C161" s="2"/>
      <c r="D161" s="2"/>
      <c r="E161" s="35"/>
      <c r="F161" s="39"/>
      <c r="G161" s="40"/>
      <c r="H161" s="40"/>
      <c r="I161" s="40"/>
      <c r="J161" s="38"/>
      <c r="K161" s="38"/>
      <c r="Q161" s="24"/>
      <c r="R161" s="24"/>
    </row>
    <row r="162" spans="1:18" ht="12.75">
      <c r="A162" s="2"/>
      <c r="B162" s="2"/>
      <c r="C162" s="2"/>
      <c r="D162" s="2"/>
      <c r="E162" s="35"/>
      <c r="F162" s="39"/>
      <c r="G162" s="40"/>
      <c r="H162" s="40"/>
      <c r="I162" s="40"/>
      <c r="K162" s="35"/>
      <c r="Q162" s="24"/>
      <c r="R162" s="24"/>
    </row>
    <row r="163" spans="3:10" ht="12.75">
      <c r="C163" s="93"/>
      <c r="D163" s="93"/>
      <c r="E163" s="93"/>
      <c r="F163" s="93"/>
      <c r="G163" s="35"/>
      <c r="H163" s="35"/>
      <c r="I163" s="35"/>
      <c r="J163" s="36"/>
    </row>
    <row r="164" spans="3:9" ht="12.75">
      <c r="C164" s="93"/>
      <c r="D164" s="93"/>
      <c r="E164" s="109"/>
      <c r="F164" s="94"/>
      <c r="G164" s="35"/>
      <c r="H164" s="35"/>
      <c r="I164" s="35"/>
    </row>
    <row r="165" spans="3:9" ht="12.75">
      <c r="C165" s="35"/>
      <c r="D165" s="110"/>
      <c r="E165" s="35"/>
      <c r="F165" s="36"/>
      <c r="G165" s="35"/>
      <c r="H165" s="35"/>
      <c r="I165" s="35"/>
    </row>
    <row r="166" spans="3:9" ht="12.75">
      <c r="C166" s="35"/>
      <c r="D166" s="110"/>
      <c r="E166" s="35"/>
      <c r="F166" s="36"/>
      <c r="G166" s="35"/>
      <c r="H166" s="35"/>
      <c r="I166" s="35"/>
    </row>
    <row r="167" spans="3:9" ht="12.75">
      <c r="C167" s="93"/>
      <c r="D167" s="93"/>
      <c r="E167" s="109"/>
      <c r="F167" s="94"/>
      <c r="G167" s="35"/>
      <c r="H167" s="35"/>
      <c r="I167" s="35"/>
    </row>
    <row r="168" spans="3:9" ht="12.75">
      <c r="C168" s="93"/>
      <c r="D168" s="93"/>
      <c r="E168" s="109"/>
      <c r="F168" s="94"/>
      <c r="G168" s="35"/>
      <c r="H168" s="35"/>
      <c r="I168" s="35"/>
    </row>
    <row r="169" spans="3:9" ht="12.75">
      <c r="C169" s="93"/>
      <c r="D169" s="93"/>
      <c r="E169" s="109"/>
      <c r="F169" s="94"/>
      <c r="G169" s="35"/>
      <c r="H169" s="35"/>
      <c r="I169" s="35"/>
    </row>
    <row r="170" spans="3:9" ht="12.75">
      <c r="C170" s="93"/>
      <c r="D170" s="93"/>
      <c r="E170" s="109"/>
      <c r="F170" s="94"/>
      <c r="G170" s="35"/>
      <c r="H170" s="35"/>
      <c r="I170" s="35"/>
    </row>
    <row r="171" spans="3:9" ht="12.75">
      <c r="C171" s="93"/>
      <c r="D171" s="93"/>
      <c r="E171" s="109"/>
      <c r="F171" s="94"/>
      <c r="G171" s="35"/>
      <c r="H171" s="35"/>
      <c r="I171" s="35"/>
    </row>
    <row r="172" spans="3:9" ht="12.75">
      <c r="C172" s="93"/>
      <c r="D172" s="110"/>
      <c r="E172" s="109"/>
      <c r="F172" s="94"/>
      <c r="G172" s="35"/>
      <c r="H172" s="35"/>
      <c r="I172" s="35"/>
    </row>
    <row r="173" spans="3:12" ht="12.75">
      <c r="C173" s="35"/>
      <c r="D173" s="110"/>
      <c r="E173" s="35"/>
      <c r="F173" s="36"/>
      <c r="G173" s="35"/>
      <c r="H173" s="35"/>
      <c r="I173" s="35"/>
      <c r="L173" s="25"/>
    </row>
    <row r="174" spans="3:12" ht="12.75">
      <c r="C174" s="35"/>
      <c r="D174" s="110"/>
      <c r="E174" s="35"/>
      <c r="F174" s="36"/>
      <c r="G174" s="35"/>
      <c r="H174" s="35"/>
      <c r="I174" s="35"/>
      <c r="L174" s="25"/>
    </row>
    <row r="175" spans="3:9" ht="12.75">
      <c r="C175" s="111"/>
      <c r="D175" s="110"/>
      <c r="E175" s="111"/>
      <c r="F175" s="112"/>
      <c r="G175" s="38"/>
      <c r="H175" s="35"/>
      <c r="I175" s="35"/>
    </row>
    <row r="176" spans="3:9" ht="12.75">
      <c r="C176" s="111"/>
      <c r="D176" s="110"/>
      <c r="E176" s="111"/>
      <c r="F176" s="112"/>
      <c r="G176" s="38"/>
      <c r="H176" s="35"/>
      <c r="I176" s="35"/>
    </row>
    <row r="177" spans="3:9" ht="12.75">
      <c r="C177" s="35"/>
      <c r="D177" s="110"/>
      <c r="E177" s="35"/>
      <c r="F177" s="36"/>
      <c r="G177" s="35"/>
      <c r="H177" s="35"/>
      <c r="I177" s="35"/>
    </row>
    <row r="178" spans="1:9" ht="12.75">
      <c r="A178" s="2"/>
      <c r="B178" s="2"/>
      <c r="C178" s="38"/>
      <c r="D178" s="38"/>
      <c r="E178" s="38"/>
      <c r="F178" s="38"/>
      <c r="G178" s="38"/>
      <c r="H178" s="35"/>
      <c r="I178" s="35"/>
    </row>
    <row r="179" spans="3:9" ht="12.75">
      <c r="C179" s="35"/>
      <c r="D179" s="110"/>
      <c r="E179" s="35"/>
      <c r="F179" s="36"/>
      <c r="G179" s="35"/>
      <c r="H179" s="35"/>
      <c r="I179" s="35"/>
    </row>
    <row r="180" spans="3:9" ht="12.75">
      <c r="C180" s="35"/>
      <c r="D180" s="110"/>
      <c r="E180" s="35"/>
      <c r="F180" s="36"/>
      <c r="G180" s="35"/>
      <c r="H180" s="35"/>
      <c r="I180" s="38"/>
    </row>
    <row r="181" spans="3:9" ht="12.75">
      <c r="C181" s="35"/>
      <c r="D181" s="110"/>
      <c r="E181" s="35"/>
      <c r="F181" s="36"/>
      <c r="G181" s="35"/>
      <c r="H181" s="35"/>
      <c r="I181" s="35"/>
    </row>
  </sheetData>
  <sheetProtection/>
  <mergeCells count="54">
    <mergeCell ref="B2:I2"/>
    <mergeCell ref="C4:H4"/>
    <mergeCell ref="C5:H5"/>
    <mergeCell ref="B9:H9"/>
    <mergeCell ref="C10:H10"/>
    <mergeCell ref="B23:H23"/>
    <mergeCell ref="C24:H24"/>
    <mergeCell ref="B29:H29"/>
    <mergeCell ref="C30:H30"/>
    <mergeCell ref="B39:H39"/>
    <mergeCell ref="C40:H40"/>
    <mergeCell ref="B46:H46"/>
    <mergeCell ref="C47:H47"/>
    <mergeCell ref="B54:H54"/>
    <mergeCell ref="C55:H55"/>
    <mergeCell ref="B59:H59"/>
    <mergeCell ref="C60:H60"/>
    <mergeCell ref="B64:H64"/>
    <mergeCell ref="B86:H86"/>
    <mergeCell ref="B87:H87"/>
    <mergeCell ref="C88:H88"/>
    <mergeCell ref="C89:H89"/>
    <mergeCell ref="B92:H92"/>
    <mergeCell ref="C65:H65"/>
    <mergeCell ref="B74:H74"/>
    <mergeCell ref="C75:H75"/>
    <mergeCell ref="B78:H78"/>
    <mergeCell ref="C79:H79"/>
    <mergeCell ref="C93:H93"/>
    <mergeCell ref="B101:H101"/>
    <mergeCell ref="C102:H102"/>
    <mergeCell ref="B106:H106"/>
    <mergeCell ref="C119:H119"/>
    <mergeCell ref="B123:H123"/>
    <mergeCell ref="C107:H107"/>
    <mergeCell ref="B114:H114"/>
    <mergeCell ref="C115:H115"/>
    <mergeCell ref="B118:H118"/>
    <mergeCell ref="C124:H124"/>
    <mergeCell ref="B129:H129"/>
    <mergeCell ref="C130:H130"/>
    <mergeCell ref="B136:H136"/>
    <mergeCell ref="C137:H137"/>
    <mergeCell ref="B140:H140"/>
    <mergeCell ref="B155:H155"/>
    <mergeCell ref="G156:H156"/>
    <mergeCell ref="G157:H157"/>
    <mergeCell ref="G158:H158"/>
    <mergeCell ref="C141:H141"/>
    <mergeCell ref="B145:H145"/>
    <mergeCell ref="C146:H146"/>
    <mergeCell ref="B149:H149"/>
    <mergeCell ref="C150:H150"/>
    <mergeCell ref="B154:H15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B30">
      <selection activeCell="B3" sqref="B3:G130"/>
    </sheetView>
  </sheetViews>
  <sheetFormatPr defaultColWidth="9.140625" defaultRowHeight="12.75"/>
  <cols>
    <col min="1" max="1" width="9.140625" style="1" hidden="1" customWidth="1"/>
    <col min="2" max="2" width="6.57421875" style="13" customWidth="1"/>
    <col min="3" max="3" width="12.8515625" style="13" customWidth="1"/>
    <col min="4" max="4" width="9.140625" style="21" customWidth="1"/>
    <col min="5" max="5" width="57.57421875" style="13" customWidth="1"/>
    <col min="6" max="6" width="6.28125" style="14" customWidth="1"/>
    <col min="7" max="7" width="7.140625" style="13" customWidth="1"/>
    <col min="8" max="8" width="15.28125" style="2" customWidth="1"/>
    <col min="9" max="16384" width="9.140625" style="2" customWidth="1"/>
  </cols>
  <sheetData>
    <row r="1" spans="2:7" s="1" customFormat="1" ht="12.75" hidden="1">
      <c r="B1" s="13" t="s">
        <v>4</v>
      </c>
      <c r="C1" s="13" t="s">
        <v>5</v>
      </c>
      <c r="D1" s="13" t="s">
        <v>6</v>
      </c>
      <c r="E1" s="13" t="s">
        <v>7</v>
      </c>
      <c r="F1" s="14" t="s">
        <v>8</v>
      </c>
      <c r="G1" s="13" t="s">
        <v>9</v>
      </c>
    </row>
    <row r="2" spans="2:7" ht="38.25" customHeight="1">
      <c r="B2" s="89" t="s">
        <v>283</v>
      </c>
      <c r="C2" s="89"/>
      <c r="D2" s="89"/>
      <c r="E2" s="89"/>
      <c r="F2" s="89"/>
      <c r="G2" s="89"/>
    </row>
    <row r="3" spans="2:7" ht="20.25">
      <c r="B3" s="43" t="s">
        <v>12</v>
      </c>
      <c r="C3" s="44" t="s">
        <v>13</v>
      </c>
      <c r="D3" s="44" t="s">
        <v>14</v>
      </c>
      <c r="E3" s="45" t="s">
        <v>15</v>
      </c>
      <c r="F3" s="45" t="s">
        <v>16</v>
      </c>
      <c r="G3" s="46" t="s">
        <v>17</v>
      </c>
    </row>
    <row r="4" spans="1:7" s="3" customFormat="1" ht="9.75">
      <c r="A4" s="3" t="s">
        <v>20</v>
      </c>
      <c r="B4" s="47" t="s">
        <v>0</v>
      </c>
      <c r="C4" s="84" t="s">
        <v>157</v>
      </c>
      <c r="D4" s="85"/>
      <c r="E4" s="85"/>
      <c r="F4" s="85"/>
      <c r="G4" s="91"/>
    </row>
    <row r="5" spans="1:7" s="3" customFormat="1" ht="9.75">
      <c r="A5" s="3" t="s">
        <v>20</v>
      </c>
      <c r="B5" s="47" t="s">
        <v>156</v>
      </c>
      <c r="C5" s="84" t="s">
        <v>2</v>
      </c>
      <c r="D5" s="85"/>
      <c r="E5" s="85"/>
      <c r="F5" s="85"/>
      <c r="G5" s="91"/>
    </row>
    <row r="6" spans="1:7" s="4" customFormat="1" ht="9.75">
      <c r="A6" s="4" t="s">
        <v>21</v>
      </c>
      <c r="B6" s="48">
        <v>1</v>
      </c>
      <c r="C6" s="9" t="s">
        <v>92</v>
      </c>
      <c r="D6" s="9"/>
      <c r="E6" s="10" t="s">
        <v>30</v>
      </c>
      <c r="F6" s="11" t="s">
        <v>31</v>
      </c>
      <c r="G6" s="49">
        <v>1</v>
      </c>
    </row>
    <row r="7" spans="1:7" s="4" customFormat="1" ht="9.75">
      <c r="A7" s="4" t="s">
        <v>21</v>
      </c>
      <c r="B7" s="48">
        <f>B6+1</f>
        <v>2</v>
      </c>
      <c r="C7" s="9" t="s">
        <v>92</v>
      </c>
      <c r="D7" s="9"/>
      <c r="E7" s="10" t="s">
        <v>176</v>
      </c>
      <c r="F7" s="11" t="s">
        <v>28</v>
      </c>
      <c r="G7" s="49">
        <v>1</v>
      </c>
    </row>
    <row r="8" spans="1:7" s="4" customFormat="1" ht="20.25">
      <c r="A8" s="4" t="s">
        <v>21</v>
      </c>
      <c r="B8" s="48">
        <f>B7+1</f>
        <v>3</v>
      </c>
      <c r="C8" s="9" t="s">
        <v>92</v>
      </c>
      <c r="D8" s="9"/>
      <c r="E8" s="10" t="s">
        <v>202</v>
      </c>
      <c r="F8" s="11" t="s">
        <v>28</v>
      </c>
      <c r="G8" s="49">
        <v>1</v>
      </c>
    </row>
    <row r="9" spans="1:7" s="3" customFormat="1" ht="9.75">
      <c r="A9" s="3" t="s">
        <v>20</v>
      </c>
      <c r="B9" s="47" t="s">
        <v>158</v>
      </c>
      <c r="C9" s="84" t="s">
        <v>1</v>
      </c>
      <c r="D9" s="85"/>
      <c r="E9" s="85"/>
      <c r="F9" s="85"/>
      <c r="G9" s="91"/>
    </row>
    <row r="10" spans="1:7" s="4" customFormat="1" ht="9.75">
      <c r="A10" s="4" t="s">
        <v>21</v>
      </c>
      <c r="B10" s="48">
        <f>B8+1</f>
        <v>4</v>
      </c>
      <c r="C10" s="9" t="s">
        <v>94</v>
      </c>
      <c r="D10" s="9" t="s">
        <v>180</v>
      </c>
      <c r="E10" s="10" t="s">
        <v>91</v>
      </c>
      <c r="F10" s="11" t="s">
        <v>24</v>
      </c>
      <c r="G10" s="49">
        <f>11.5*6.5</f>
        <v>74.75</v>
      </c>
    </row>
    <row r="11" spans="2:7" s="4" customFormat="1" ht="9.75">
      <c r="B11" s="48">
        <f>B10+1</f>
        <v>5</v>
      </c>
      <c r="C11" s="9" t="s">
        <v>221</v>
      </c>
      <c r="D11" s="9"/>
      <c r="E11" s="10" t="s">
        <v>222</v>
      </c>
      <c r="F11" s="11" t="s">
        <v>25</v>
      </c>
      <c r="G11" s="49">
        <f>16+18</f>
        <v>34</v>
      </c>
    </row>
    <row r="12" spans="1:7" s="4" customFormat="1" ht="20.25">
      <c r="A12" s="4" t="s">
        <v>21</v>
      </c>
      <c r="B12" s="48">
        <f aca="true" t="shared" si="0" ref="B12:B21">B11+1</f>
        <v>6</v>
      </c>
      <c r="C12" s="9" t="s">
        <v>95</v>
      </c>
      <c r="D12" s="9" t="s">
        <v>180</v>
      </c>
      <c r="E12" s="10" t="s">
        <v>199</v>
      </c>
      <c r="F12" s="11" t="s">
        <v>28</v>
      </c>
      <c r="G12" s="49">
        <v>9</v>
      </c>
    </row>
    <row r="13" spans="2:7" s="4" customFormat="1" ht="9.75">
      <c r="B13" s="48">
        <f t="shared" si="0"/>
        <v>7</v>
      </c>
      <c r="C13" s="9" t="s">
        <v>92</v>
      </c>
      <c r="D13" s="9"/>
      <c r="E13" s="10" t="s">
        <v>212</v>
      </c>
      <c r="F13" s="11" t="s">
        <v>28</v>
      </c>
      <c r="G13" s="49">
        <v>1</v>
      </c>
    </row>
    <row r="14" spans="1:7" s="4" customFormat="1" ht="9.75">
      <c r="A14" s="4" t="s">
        <v>21</v>
      </c>
      <c r="B14" s="48">
        <f t="shared" si="0"/>
        <v>8</v>
      </c>
      <c r="C14" s="9" t="s">
        <v>214</v>
      </c>
      <c r="D14" s="9" t="s">
        <v>180</v>
      </c>
      <c r="E14" s="10" t="s">
        <v>215</v>
      </c>
      <c r="F14" s="11" t="s">
        <v>40</v>
      </c>
      <c r="G14" s="50">
        <f>ROUND((12+17)*0.042,2)</f>
        <v>1.22</v>
      </c>
    </row>
    <row r="15" spans="2:7" s="4" customFormat="1" ht="20.25">
      <c r="B15" s="48">
        <f t="shared" si="0"/>
        <v>9</v>
      </c>
      <c r="C15" s="9" t="s">
        <v>97</v>
      </c>
      <c r="D15" s="9" t="s">
        <v>180</v>
      </c>
      <c r="E15" s="10" t="s">
        <v>216</v>
      </c>
      <c r="F15" s="11" t="s">
        <v>23</v>
      </c>
      <c r="G15" s="49">
        <f>9*9*0.4</f>
        <v>32.4</v>
      </c>
    </row>
    <row r="16" spans="2:7" s="4" customFormat="1" ht="20.25">
      <c r="B16" s="48">
        <f t="shared" si="0"/>
        <v>10</v>
      </c>
      <c r="C16" s="9" t="s">
        <v>198</v>
      </c>
      <c r="D16" s="9"/>
      <c r="E16" s="10" t="s">
        <v>197</v>
      </c>
      <c r="F16" s="11" t="s">
        <v>40</v>
      </c>
      <c r="G16" s="51">
        <f>ROUND(9*8.6*0.068,3)</f>
        <v>5.263</v>
      </c>
    </row>
    <row r="17" spans="1:7" s="4" customFormat="1" ht="20.25">
      <c r="A17" s="4" t="s">
        <v>21</v>
      </c>
      <c r="B17" s="48">
        <f t="shared" si="0"/>
        <v>11</v>
      </c>
      <c r="C17" s="9" t="s">
        <v>97</v>
      </c>
      <c r="D17" s="9" t="s">
        <v>180</v>
      </c>
      <c r="E17" s="10" t="s">
        <v>217</v>
      </c>
      <c r="F17" s="11" t="s">
        <v>23</v>
      </c>
      <c r="G17" s="49">
        <f>(17+15)*4*1+2*1*1*5</f>
        <v>138</v>
      </c>
    </row>
    <row r="18" spans="2:7" s="4" customFormat="1" ht="9.75">
      <c r="B18" s="48">
        <f t="shared" si="0"/>
        <v>12</v>
      </c>
      <c r="C18" s="62" t="s">
        <v>92</v>
      </c>
      <c r="D18" s="62" t="s">
        <v>180</v>
      </c>
      <c r="E18" s="63" t="s">
        <v>177</v>
      </c>
      <c r="F18" s="64" t="s">
        <v>23</v>
      </c>
      <c r="G18" s="65">
        <v>70</v>
      </c>
    </row>
    <row r="19" spans="2:7" s="4" customFormat="1" ht="9.75">
      <c r="B19" s="48">
        <f t="shared" si="0"/>
        <v>13</v>
      </c>
      <c r="C19" s="66" t="s">
        <v>219</v>
      </c>
      <c r="D19" s="66"/>
      <c r="E19" s="41" t="s">
        <v>220</v>
      </c>
      <c r="F19" s="31" t="s">
        <v>24</v>
      </c>
      <c r="G19" s="32">
        <v>120</v>
      </c>
    </row>
    <row r="20" spans="2:7" s="4" customFormat="1" ht="9.75">
      <c r="B20" s="48">
        <f t="shared" si="0"/>
        <v>14</v>
      </c>
      <c r="C20" s="66" t="s">
        <v>92</v>
      </c>
      <c r="D20" s="66"/>
      <c r="E20" s="41" t="s">
        <v>211</v>
      </c>
      <c r="F20" s="31" t="s">
        <v>23</v>
      </c>
      <c r="G20" s="32">
        <f>1.5*1*25</f>
        <v>37.5</v>
      </c>
    </row>
    <row r="21" spans="2:7" s="4" customFormat="1" ht="20.25">
      <c r="B21" s="48">
        <f t="shared" si="0"/>
        <v>15</v>
      </c>
      <c r="C21" s="66" t="s">
        <v>97</v>
      </c>
      <c r="D21" s="66"/>
      <c r="E21" s="41" t="s">
        <v>240</v>
      </c>
      <c r="F21" s="31" t="s">
        <v>23</v>
      </c>
      <c r="G21" s="32">
        <v>5</v>
      </c>
    </row>
    <row r="22" spans="1:7" s="3" customFormat="1" ht="9.75">
      <c r="A22" s="3" t="s">
        <v>20</v>
      </c>
      <c r="B22" s="47" t="s">
        <v>29</v>
      </c>
      <c r="C22" s="87" t="s">
        <v>34</v>
      </c>
      <c r="D22" s="88"/>
      <c r="E22" s="85"/>
      <c r="F22" s="85"/>
      <c r="G22" s="91"/>
    </row>
    <row r="23" spans="1:7" s="4" customFormat="1" ht="20.25">
      <c r="A23" s="4" t="s">
        <v>21</v>
      </c>
      <c r="B23" s="55">
        <f>B21+1</f>
        <v>16</v>
      </c>
      <c r="C23" s="28" t="s">
        <v>218</v>
      </c>
      <c r="D23" s="76"/>
      <c r="E23" s="99" t="s">
        <v>264</v>
      </c>
      <c r="F23" s="100" t="s">
        <v>25</v>
      </c>
      <c r="G23" s="49">
        <f>35+20</f>
        <v>55</v>
      </c>
    </row>
    <row r="24" spans="2:7" s="4" customFormat="1" ht="20.25">
      <c r="B24" s="48">
        <f>B23+1</f>
        <v>17</v>
      </c>
      <c r="C24" s="28" t="s">
        <v>218</v>
      </c>
      <c r="D24" s="76"/>
      <c r="E24" s="99" t="s">
        <v>265</v>
      </c>
      <c r="F24" s="100" t="s">
        <v>25</v>
      </c>
      <c r="G24" s="49">
        <f>31+19</f>
        <v>50</v>
      </c>
    </row>
    <row r="25" spans="1:7" s="4" customFormat="1" ht="20.25">
      <c r="A25" s="4" t="s">
        <v>21</v>
      </c>
      <c r="B25" s="48">
        <f>B24+1</f>
        <v>18</v>
      </c>
      <c r="C25" s="9" t="s">
        <v>98</v>
      </c>
      <c r="D25" s="9" t="s">
        <v>181</v>
      </c>
      <c r="E25" s="10" t="s">
        <v>132</v>
      </c>
      <c r="F25" s="11" t="s">
        <v>23</v>
      </c>
      <c r="G25" s="49">
        <f>(115+65)*1.8+2*8*3*15+5*12*3</f>
        <v>1224</v>
      </c>
    </row>
    <row r="26" spans="1:7" s="4" customFormat="1" ht="30">
      <c r="A26" s="4" t="s">
        <v>21</v>
      </c>
      <c r="B26" s="48">
        <f>B25+1</f>
        <v>19</v>
      </c>
      <c r="C26" s="9" t="s">
        <v>99</v>
      </c>
      <c r="D26" s="9" t="s">
        <v>35</v>
      </c>
      <c r="E26" s="10" t="s">
        <v>131</v>
      </c>
      <c r="F26" s="11" t="s">
        <v>23</v>
      </c>
      <c r="G26" s="49">
        <v>950</v>
      </c>
    </row>
    <row r="27" spans="1:9" s="3" customFormat="1" ht="9.75">
      <c r="A27" s="3" t="s">
        <v>20</v>
      </c>
      <c r="B27" s="47" t="s">
        <v>63</v>
      </c>
      <c r="C27" s="84" t="s">
        <v>267</v>
      </c>
      <c r="D27" s="85"/>
      <c r="E27" s="85"/>
      <c r="F27" s="85"/>
      <c r="G27" s="91"/>
      <c r="I27" s="4"/>
    </row>
    <row r="28" spans="1:7" s="4" customFormat="1" ht="20.25">
      <c r="A28" s="4" t="s">
        <v>21</v>
      </c>
      <c r="B28" s="48">
        <f>B26+1</f>
        <v>20</v>
      </c>
      <c r="C28" s="9" t="s">
        <v>100</v>
      </c>
      <c r="D28" s="9" t="s">
        <v>179</v>
      </c>
      <c r="E28" s="10" t="s">
        <v>207</v>
      </c>
      <c r="F28" s="11" t="s">
        <v>23</v>
      </c>
      <c r="G28" s="49">
        <f>(115+65)*0.2+5</f>
        <v>41</v>
      </c>
    </row>
    <row r="29" spans="1:7" s="4" customFormat="1" ht="9.75">
      <c r="A29" s="4" t="s">
        <v>21</v>
      </c>
      <c r="B29" s="48">
        <f>B28+1</f>
        <v>21</v>
      </c>
      <c r="C29" s="9" t="s">
        <v>253</v>
      </c>
      <c r="D29" s="9" t="s">
        <v>38</v>
      </c>
      <c r="E29" s="10" t="s">
        <v>254</v>
      </c>
      <c r="F29" s="11" t="s">
        <v>40</v>
      </c>
      <c r="G29" s="51">
        <f>5.038+4.007+14.969+5.475+1.813</f>
        <v>31.301999999999996</v>
      </c>
    </row>
    <row r="30" spans="1:7" s="4" customFormat="1" ht="9.75">
      <c r="A30" s="4" t="s">
        <v>21</v>
      </c>
      <c r="B30" s="48">
        <f aca="true" t="shared" si="1" ref="B30:B35">B29+1</f>
        <v>22</v>
      </c>
      <c r="C30" s="9" t="s">
        <v>256</v>
      </c>
      <c r="D30" s="9" t="s">
        <v>38</v>
      </c>
      <c r="E30" s="10" t="s">
        <v>255</v>
      </c>
      <c r="F30" s="11" t="s">
        <v>40</v>
      </c>
      <c r="G30" s="51">
        <f>G29</f>
        <v>31.301999999999996</v>
      </c>
    </row>
    <row r="31" spans="1:7" s="4" customFormat="1" ht="20.25">
      <c r="A31" s="4" t="s">
        <v>21</v>
      </c>
      <c r="B31" s="48">
        <f>B30+1</f>
        <v>23</v>
      </c>
      <c r="C31" s="9" t="s">
        <v>104</v>
      </c>
      <c r="D31" s="9" t="s">
        <v>182</v>
      </c>
      <c r="E31" s="10" t="s">
        <v>133</v>
      </c>
      <c r="F31" s="11" t="s">
        <v>23</v>
      </c>
      <c r="G31" s="49">
        <f>58+68</f>
        <v>126</v>
      </c>
    </row>
    <row r="32" spans="1:7" s="4" customFormat="1" ht="20.25">
      <c r="A32" s="4" t="s">
        <v>21</v>
      </c>
      <c r="B32" s="48">
        <f t="shared" si="1"/>
        <v>24</v>
      </c>
      <c r="C32" s="9" t="s">
        <v>105</v>
      </c>
      <c r="D32" s="9" t="s">
        <v>182</v>
      </c>
      <c r="E32" s="10" t="s">
        <v>134</v>
      </c>
      <c r="F32" s="11" t="s">
        <v>24</v>
      </c>
      <c r="G32" s="52">
        <f>405+83</f>
        <v>488</v>
      </c>
    </row>
    <row r="33" spans="1:7" s="4" customFormat="1" ht="20.25">
      <c r="A33" s="4" t="s">
        <v>21</v>
      </c>
      <c r="B33" s="48">
        <f t="shared" si="1"/>
        <v>25</v>
      </c>
      <c r="C33" s="9" t="s">
        <v>106</v>
      </c>
      <c r="D33" s="9" t="s">
        <v>182</v>
      </c>
      <c r="E33" s="10" t="s">
        <v>135</v>
      </c>
      <c r="F33" s="11" t="s">
        <v>23</v>
      </c>
      <c r="G33" s="52">
        <f>110+59+18</f>
        <v>187</v>
      </c>
    </row>
    <row r="34" spans="1:7" s="4" customFormat="1" ht="20.25">
      <c r="A34" s="4" t="s">
        <v>21</v>
      </c>
      <c r="B34" s="48">
        <f t="shared" si="1"/>
        <v>26</v>
      </c>
      <c r="C34" s="9" t="s">
        <v>107</v>
      </c>
      <c r="D34" s="9" t="s">
        <v>42</v>
      </c>
      <c r="E34" s="10" t="s">
        <v>43</v>
      </c>
      <c r="F34" s="11" t="s">
        <v>24</v>
      </c>
      <c r="G34" s="52">
        <f>455.9+63.5</f>
        <v>519.4</v>
      </c>
    </row>
    <row r="35" spans="1:7" s="4" customFormat="1" ht="20.25">
      <c r="A35" s="4" t="s">
        <v>21</v>
      </c>
      <c r="B35" s="48">
        <f t="shared" si="1"/>
        <v>27</v>
      </c>
      <c r="C35" s="9" t="s">
        <v>108</v>
      </c>
      <c r="D35" s="9" t="s">
        <v>42</v>
      </c>
      <c r="E35" s="10" t="s">
        <v>136</v>
      </c>
      <c r="F35" s="11" t="s">
        <v>24</v>
      </c>
      <c r="G35" s="52">
        <f>G34</f>
        <v>519.4</v>
      </c>
    </row>
    <row r="36" spans="1:7" s="3" customFormat="1" ht="9.75">
      <c r="A36" s="3" t="s">
        <v>20</v>
      </c>
      <c r="B36" s="47" t="s">
        <v>159</v>
      </c>
      <c r="C36" s="84" t="s">
        <v>44</v>
      </c>
      <c r="D36" s="85"/>
      <c r="E36" s="85"/>
      <c r="F36" s="85"/>
      <c r="G36" s="91"/>
    </row>
    <row r="37" spans="1:7" s="4" customFormat="1" ht="9.75">
      <c r="A37" s="4" t="s">
        <v>21</v>
      </c>
      <c r="B37" s="53">
        <f>B35+1</f>
        <v>28</v>
      </c>
      <c r="C37" s="9" t="s">
        <v>105</v>
      </c>
      <c r="D37" s="9" t="s">
        <v>182</v>
      </c>
      <c r="E37" s="10" t="s">
        <v>45</v>
      </c>
      <c r="F37" s="11" t="s">
        <v>24</v>
      </c>
      <c r="G37" s="52">
        <v>187</v>
      </c>
    </row>
    <row r="38" spans="1:7" s="4" customFormat="1" ht="9.75">
      <c r="A38" s="4" t="s">
        <v>21</v>
      </c>
      <c r="B38" s="53">
        <f>B37+1</f>
        <v>29</v>
      </c>
      <c r="C38" s="9" t="s">
        <v>109</v>
      </c>
      <c r="D38" s="9" t="s">
        <v>38</v>
      </c>
      <c r="E38" s="10" t="s">
        <v>46</v>
      </c>
      <c r="F38" s="11" t="s">
        <v>40</v>
      </c>
      <c r="G38" s="51">
        <v>12.163</v>
      </c>
    </row>
    <row r="39" spans="1:7" s="4" customFormat="1" ht="9.75">
      <c r="A39" s="4" t="s">
        <v>21</v>
      </c>
      <c r="B39" s="53">
        <f>B38+1</f>
        <v>30</v>
      </c>
      <c r="C39" s="9" t="s">
        <v>110</v>
      </c>
      <c r="D39" s="9" t="s">
        <v>38</v>
      </c>
      <c r="E39" s="10" t="s">
        <v>47</v>
      </c>
      <c r="F39" s="11" t="s">
        <v>40</v>
      </c>
      <c r="G39" s="51">
        <f>G38</f>
        <v>12.163</v>
      </c>
    </row>
    <row r="40" spans="1:7" s="4" customFormat="1" ht="20.25">
      <c r="A40" s="4" t="s">
        <v>21</v>
      </c>
      <c r="B40" s="53">
        <f>B39+1</f>
        <v>31</v>
      </c>
      <c r="C40" s="9" t="s">
        <v>111</v>
      </c>
      <c r="D40" s="9" t="s">
        <v>182</v>
      </c>
      <c r="E40" s="10" t="s">
        <v>137</v>
      </c>
      <c r="F40" s="11" t="s">
        <v>23</v>
      </c>
      <c r="G40" s="49">
        <v>145</v>
      </c>
    </row>
    <row r="41" spans="1:7" s="4" customFormat="1" ht="9.75">
      <c r="A41" s="4" t="s">
        <v>21</v>
      </c>
      <c r="B41" s="53">
        <f>B40+1</f>
        <v>32</v>
      </c>
      <c r="C41" s="9" t="s">
        <v>112</v>
      </c>
      <c r="D41" s="9" t="s">
        <v>38</v>
      </c>
      <c r="E41" s="10" t="s">
        <v>196</v>
      </c>
      <c r="F41" s="11" t="s">
        <v>27</v>
      </c>
      <c r="G41" s="54">
        <v>61</v>
      </c>
    </row>
    <row r="42" spans="2:7" s="3" customFormat="1" ht="9.75">
      <c r="B42" s="47" t="s">
        <v>160</v>
      </c>
      <c r="C42" s="84" t="s">
        <v>155</v>
      </c>
      <c r="D42" s="85"/>
      <c r="E42" s="85"/>
      <c r="F42" s="85"/>
      <c r="G42" s="91"/>
    </row>
    <row r="43" spans="2:7" s="3" customFormat="1" ht="20.25">
      <c r="B43" s="53">
        <f>B41+1</f>
        <v>33</v>
      </c>
      <c r="C43" s="9" t="s">
        <v>100</v>
      </c>
      <c r="D43" s="9" t="s">
        <v>179</v>
      </c>
      <c r="E43" s="10" t="s">
        <v>208</v>
      </c>
      <c r="F43" s="11" t="s">
        <v>23</v>
      </c>
      <c r="G43" s="52">
        <f>2*38*0.1</f>
        <v>7.6000000000000005</v>
      </c>
    </row>
    <row r="44" spans="2:7" s="3" customFormat="1" ht="9.75">
      <c r="B44" s="53">
        <f>B43+1</f>
        <v>34</v>
      </c>
      <c r="C44" s="9" t="s">
        <v>101</v>
      </c>
      <c r="D44" s="9" t="s">
        <v>36</v>
      </c>
      <c r="E44" s="10" t="s">
        <v>37</v>
      </c>
      <c r="F44" s="11" t="s">
        <v>24</v>
      </c>
      <c r="G44" s="49">
        <f>(15.6+11.5)*0.3+(12.7+10.5)*0.6</f>
        <v>22.05</v>
      </c>
    </row>
    <row r="45" spans="2:7" s="3" customFormat="1" ht="9.75">
      <c r="B45" s="53">
        <f>B44+1</f>
        <v>35</v>
      </c>
      <c r="C45" s="9" t="s">
        <v>102</v>
      </c>
      <c r="D45" s="9" t="s">
        <v>38</v>
      </c>
      <c r="E45" s="10" t="s">
        <v>39</v>
      </c>
      <c r="F45" s="11" t="s">
        <v>40</v>
      </c>
      <c r="G45" s="51">
        <v>3.679</v>
      </c>
    </row>
    <row r="46" spans="2:7" s="3" customFormat="1" ht="9.75">
      <c r="B46" s="53">
        <f>B45+1</f>
        <v>36</v>
      </c>
      <c r="C46" s="9" t="s">
        <v>103</v>
      </c>
      <c r="D46" s="9" t="s">
        <v>38</v>
      </c>
      <c r="E46" s="10" t="s">
        <v>41</v>
      </c>
      <c r="F46" s="11" t="s">
        <v>40</v>
      </c>
      <c r="G46" s="113">
        <f>G45</f>
        <v>3.679</v>
      </c>
    </row>
    <row r="47" spans="2:7" s="3" customFormat="1" ht="20.25">
      <c r="B47" s="53">
        <f>B46+1</f>
        <v>37</v>
      </c>
      <c r="C47" s="9" t="s">
        <v>104</v>
      </c>
      <c r="D47" s="9" t="s">
        <v>36</v>
      </c>
      <c r="E47" s="10" t="s">
        <v>133</v>
      </c>
      <c r="F47" s="67" t="s">
        <v>23</v>
      </c>
      <c r="G47" s="32">
        <v>26.5</v>
      </c>
    </row>
    <row r="48" spans="2:7" s="3" customFormat="1" ht="9.75">
      <c r="B48" s="53">
        <f>B47+1</f>
        <v>38</v>
      </c>
      <c r="C48" s="9" t="s">
        <v>113</v>
      </c>
      <c r="D48" s="9" t="s">
        <v>22</v>
      </c>
      <c r="E48" s="10" t="s">
        <v>209</v>
      </c>
      <c r="F48" s="67" t="s">
        <v>25</v>
      </c>
      <c r="G48" s="76">
        <f>12.3+13</f>
        <v>25.3</v>
      </c>
    </row>
    <row r="49" spans="1:7" s="3" customFormat="1" ht="9.75">
      <c r="A49" s="3" t="s">
        <v>20</v>
      </c>
      <c r="B49" s="47" t="s">
        <v>161</v>
      </c>
      <c r="C49" s="84" t="s">
        <v>210</v>
      </c>
      <c r="D49" s="85"/>
      <c r="E49" s="85"/>
      <c r="F49" s="85"/>
      <c r="G49" s="114"/>
    </row>
    <row r="50" spans="1:7" s="4" customFormat="1" ht="20.25">
      <c r="A50" s="4" t="s">
        <v>21</v>
      </c>
      <c r="B50" s="48">
        <f>B48+1</f>
        <v>39</v>
      </c>
      <c r="C50" s="9" t="s">
        <v>114</v>
      </c>
      <c r="D50" s="9" t="s">
        <v>48</v>
      </c>
      <c r="E50" s="10" t="s">
        <v>49</v>
      </c>
      <c r="F50" s="67" t="s">
        <v>24</v>
      </c>
      <c r="G50" s="68">
        <v>280.9</v>
      </c>
    </row>
    <row r="51" spans="1:8" s="4" customFormat="1" ht="9.75">
      <c r="A51" s="4" t="s">
        <v>21</v>
      </c>
      <c r="B51" s="48">
        <f>B50+1</f>
        <v>40</v>
      </c>
      <c r="C51" s="9" t="s">
        <v>115</v>
      </c>
      <c r="D51" s="9" t="s">
        <v>71</v>
      </c>
      <c r="E51" s="10" t="s">
        <v>154</v>
      </c>
      <c r="F51" s="67" t="s">
        <v>24</v>
      </c>
      <c r="G51" s="69">
        <f>17.85*7</f>
        <v>124.95000000000002</v>
      </c>
      <c r="H51" s="60"/>
    </row>
    <row r="52" spans="1:8" s="4" customFormat="1" ht="9.75">
      <c r="A52" s="4" t="s">
        <v>21</v>
      </c>
      <c r="B52" s="48">
        <f>B51+1</f>
        <v>41</v>
      </c>
      <c r="C52" s="9" t="s">
        <v>116</v>
      </c>
      <c r="D52" s="9" t="s">
        <v>50</v>
      </c>
      <c r="E52" s="10" t="s">
        <v>178</v>
      </c>
      <c r="F52" s="67" t="s">
        <v>24</v>
      </c>
      <c r="G52" s="70">
        <f>G51</f>
        <v>124.95000000000002</v>
      </c>
      <c r="H52" s="60"/>
    </row>
    <row r="53" spans="1:7" s="3" customFormat="1" ht="9.75">
      <c r="A53" s="3" t="s">
        <v>20</v>
      </c>
      <c r="B53" s="47" t="s">
        <v>162</v>
      </c>
      <c r="C53" s="84" t="s">
        <v>268</v>
      </c>
      <c r="D53" s="85"/>
      <c r="E53" s="85"/>
      <c r="F53" s="85"/>
      <c r="G53" s="114"/>
    </row>
    <row r="54" spans="1:7" s="4" customFormat="1" ht="20.25">
      <c r="A54" s="4" t="s">
        <v>21</v>
      </c>
      <c r="B54" s="115">
        <f>B52+1</f>
        <v>42</v>
      </c>
      <c r="C54" s="62" t="s">
        <v>117</v>
      </c>
      <c r="D54" s="62" t="s">
        <v>51</v>
      </c>
      <c r="E54" s="72" t="s">
        <v>52</v>
      </c>
      <c r="F54" s="92" t="s">
        <v>25</v>
      </c>
      <c r="G54" s="103">
        <f>9.9+8.2</f>
        <v>18.1</v>
      </c>
    </row>
    <row r="55" spans="2:7" s="4" customFormat="1" ht="9.75">
      <c r="B55" s="48">
        <f>B54+1</f>
        <v>43</v>
      </c>
      <c r="C55" s="62" t="s">
        <v>117</v>
      </c>
      <c r="D55" s="66"/>
      <c r="E55" s="41" t="s">
        <v>269</v>
      </c>
      <c r="F55" s="31" t="s">
        <v>25</v>
      </c>
      <c r="G55" s="71">
        <f>ROUND(3.99+1.35+3.2+1.15,1)</f>
        <v>9.7</v>
      </c>
    </row>
    <row r="56" spans="2:7" s="4" customFormat="1" ht="9.75">
      <c r="B56" s="55">
        <f>B55+1</f>
        <v>44</v>
      </c>
      <c r="C56" s="66" t="s">
        <v>117</v>
      </c>
      <c r="D56" s="66"/>
      <c r="E56" s="41" t="s">
        <v>270</v>
      </c>
      <c r="F56" s="31" t="s">
        <v>25</v>
      </c>
      <c r="G56" s="71">
        <f>3.6+3.9+1.5</f>
        <v>9</v>
      </c>
    </row>
    <row r="57" spans="1:7" s="3" customFormat="1" ht="9.75">
      <c r="A57" s="3" t="s">
        <v>20</v>
      </c>
      <c r="B57" s="47" t="s">
        <v>163</v>
      </c>
      <c r="C57" s="84" t="s">
        <v>53</v>
      </c>
      <c r="D57" s="85"/>
      <c r="E57" s="85"/>
      <c r="F57" s="85"/>
      <c r="G57" s="91"/>
    </row>
    <row r="58" spans="1:7" s="4" customFormat="1" ht="20.25">
      <c r="A58" s="4" t="s">
        <v>21</v>
      </c>
      <c r="B58" s="48">
        <f>B56+1</f>
        <v>45</v>
      </c>
      <c r="C58" s="9" t="s">
        <v>100</v>
      </c>
      <c r="D58" s="9" t="s">
        <v>179</v>
      </c>
      <c r="E58" s="10" t="s">
        <v>208</v>
      </c>
      <c r="F58" s="11" t="s">
        <v>23</v>
      </c>
      <c r="G58" s="52">
        <f>ROUND((16.7+4.1)*1.75*0.6+(1.6+2.7)*0.3*0.4,1)</f>
        <v>22.4</v>
      </c>
    </row>
    <row r="59" spans="1:7" s="4" customFormat="1" ht="9.75">
      <c r="A59" s="4" t="s">
        <v>21</v>
      </c>
      <c r="B59" s="48">
        <f aca="true" t="shared" si="2" ref="B59:B65">B58+1</f>
        <v>46</v>
      </c>
      <c r="C59" s="66" t="s">
        <v>92</v>
      </c>
      <c r="D59" s="9"/>
      <c r="E59" s="10" t="s">
        <v>257</v>
      </c>
      <c r="F59" s="11" t="s">
        <v>25</v>
      </c>
      <c r="G59" s="52">
        <f>37+22</f>
        <v>59</v>
      </c>
    </row>
    <row r="60" spans="1:7" s="4" customFormat="1" ht="20.25">
      <c r="A60" s="4" t="s">
        <v>21</v>
      </c>
      <c r="B60" s="48">
        <f t="shared" si="2"/>
        <v>47</v>
      </c>
      <c r="C60" s="9" t="s">
        <v>118</v>
      </c>
      <c r="D60" s="9" t="s">
        <v>54</v>
      </c>
      <c r="E60" s="10" t="s">
        <v>203</v>
      </c>
      <c r="F60" s="11" t="s">
        <v>25</v>
      </c>
      <c r="G60" s="49">
        <f>37+22+2*3</f>
        <v>65</v>
      </c>
    </row>
    <row r="61" spans="1:7" s="4" customFormat="1" ht="9.75">
      <c r="A61" s="4" t="s">
        <v>21</v>
      </c>
      <c r="B61" s="48">
        <f t="shared" si="2"/>
        <v>48</v>
      </c>
      <c r="C61" s="9" t="s">
        <v>109</v>
      </c>
      <c r="D61" s="9" t="s">
        <v>38</v>
      </c>
      <c r="E61" s="10" t="s">
        <v>55</v>
      </c>
      <c r="F61" s="11" t="s">
        <v>40</v>
      </c>
      <c r="G61" s="51">
        <v>3.015</v>
      </c>
    </row>
    <row r="62" spans="1:7" s="4" customFormat="1" ht="9.75">
      <c r="A62" s="4" t="s">
        <v>21</v>
      </c>
      <c r="B62" s="48">
        <f t="shared" si="2"/>
        <v>49</v>
      </c>
      <c r="C62" s="9" t="s">
        <v>110</v>
      </c>
      <c r="D62" s="9" t="s">
        <v>38</v>
      </c>
      <c r="E62" s="10" t="s">
        <v>56</v>
      </c>
      <c r="F62" s="11" t="s">
        <v>40</v>
      </c>
      <c r="G62" s="51">
        <f>G61</f>
        <v>3.015</v>
      </c>
    </row>
    <row r="63" spans="2:7" s="4" customFormat="1" ht="9.75">
      <c r="B63" s="48">
        <f t="shared" si="2"/>
        <v>50</v>
      </c>
      <c r="C63" s="9" t="s">
        <v>205</v>
      </c>
      <c r="D63" s="9" t="s">
        <v>204</v>
      </c>
      <c r="E63" s="10" t="s">
        <v>206</v>
      </c>
      <c r="F63" s="11" t="s">
        <v>25</v>
      </c>
      <c r="G63" s="52">
        <f>37+22</f>
        <v>59</v>
      </c>
    </row>
    <row r="64" spans="1:7" s="4" customFormat="1" ht="9.75">
      <c r="A64" s="4" t="s">
        <v>21</v>
      </c>
      <c r="B64" s="48">
        <f t="shared" si="2"/>
        <v>51</v>
      </c>
      <c r="C64" s="9" t="s">
        <v>119</v>
      </c>
      <c r="D64" s="9" t="s">
        <v>36</v>
      </c>
      <c r="E64" s="10" t="s">
        <v>57</v>
      </c>
      <c r="F64" s="11" t="s">
        <v>23</v>
      </c>
      <c r="G64" s="52">
        <v>24.5</v>
      </c>
    </row>
    <row r="65" spans="1:7" s="4" customFormat="1" ht="9.75">
      <c r="A65" s="4" t="s">
        <v>21</v>
      </c>
      <c r="B65" s="48">
        <f t="shared" si="2"/>
        <v>52</v>
      </c>
      <c r="C65" s="9" t="s">
        <v>96</v>
      </c>
      <c r="D65" s="9"/>
      <c r="E65" s="10" t="s">
        <v>266</v>
      </c>
      <c r="F65" s="11" t="s">
        <v>25</v>
      </c>
      <c r="G65" s="49">
        <f>37+22</f>
        <v>59</v>
      </c>
    </row>
    <row r="66" spans="1:7" s="3" customFormat="1" ht="9.75">
      <c r="A66" s="3" t="s">
        <v>20</v>
      </c>
      <c r="B66" s="47" t="s">
        <v>164</v>
      </c>
      <c r="C66" s="84" t="s">
        <v>58</v>
      </c>
      <c r="D66" s="85"/>
      <c r="E66" s="85"/>
      <c r="F66" s="85"/>
      <c r="G66" s="91"/>
    </row>
    <row r="67" spans="1:7" s="4" customFormat="1" ht="9.75">
      <c r="A67" s="4" t="s">
        <v>21</v>
      </c>
      <c r="B67" s="48">
        <f>B65+1</f>
        <v>53</v>
      </c>
      <c r="C67" s="9" t="s">
        <v>120</v>
      </c>
      <c r="D67" s="9" t="s">
        <v>183</v>
      </c>
      <c r="E67" s="10" t="s">
        <v>59</v>
      </c>
      <c r="F67" s="11" t="s">
        <v>24</v>
      </c>
      <c r="G67" s="52">
        <f>252.1+25*0.7</f>
        <v>269.6</v>
      </c>
    </row>
    <row r="68" spans="1:7" s="4" customFormat="1" ht="9.75">
      <c r="A68" s="4" t="s">
        <v>21</v>
      </c>
      <c r="B68" s="48">
        <f>B67+1</f>
        <v>54</v>
      </c>
      <c r="C68" s="9" t="s">
        <v>120</v>
      </c>
      <c r="D68" s="9"/>
      <c r="E68" s="10" t="s">
        <v>200</v>
      </c>
      <c r="F68" s="11" t="s">
        <v>24</v>
      </c>
      <c r="G68" s="52">
        <f>ROUND(37*2.45+22*0.8,1)</f>
        <v>108.3</v>
      </c>
    </row>
    <row r="69" spans="1:7" s="3" customFormat="1" ht="9.75" customHeight="1">
      <c r="A69" s="3" t="s">
        <v>20</v>
      </c>
      <c r="B69" s="47" t="s">
        <v>165</v>
      </c>
      <c r="C69" s="84" t="s">
        <v>60</v>
      </c>
      <c r="D69" s="85"/>
      <c r="E69" s="85"/>
      <c r="F69" s="88"/>
      <c r="G69" s="114"/>
    </row>
    <row r="70" spans="2:8" s="3" customFormat="1" ht="21" customHeight="1">
      <c r="B70" s="48">
        <f>B68+1</f>
        <v>55</v>
      </c>
      <c r="C70" s="9" t="s">
        <v>262</v>
      </c>
      <c r="D70" s="9"/>
      <c r="E70" s="77" t="s">
        <v>263</v>
      </c>
      <c r="F70" s="31" t="s">
        <v>23</v>
      </c>
      <c r="G70" s="68">
        <v>5</v>
      </c>
      <c r="H70" s="4"/>
    </row>
    <row r="71" spans="2:8" s="3" customFormat="1" ht="9.75" customHeight="1">
      <c r="B71" s="48">
        <f>B70+1</f>
        <v>56</v>
      </c>
      <c r="C71" s="9" t="s">
        <v>261</v>
      </c>
      <c r="D71" s="9"/>
      <c r="E71" s="77" t="s">
        <v>271</v>
      </c>
      <c r="F71" s="31" t="s">
        <v>23</v>
      </c>
      <c r="G71" s="70">
        <f>(1.5*0.5+1*1)*25</f>
        <v>43.75</v>
      </c>
      <c r="H71" s="4"/>
    </row>
    <row r="72" spans="1:9" s="4" customFormat="1" ht="9.75">
      <c r="A72" s="4" t="s">
        <v>21</v>
      </c>
      <c r="B72" s="48">
        <f>B71+1</f>
        <v>57</v>
      </c>
      <c r="C72" s="9" t="s">
        <v>121</v>
      </c>
      <c r="D72" s="9" t="s">
        <v>184</v>
      </c>
      <c r="E72" s="77" t="s">
        <v>272</v>
      </c>
      <c r="F72" s="31" t="s">
        <v>23</v>
      </c>
      <c r="G72" s="68">
        <f>130*0.6</f>
        <v>78</v>
      </c>
      <c r="H72" s="6"/>
      <c r="I72" s="6"/>
    </row>
    <row r="73" spans="1:7" s="4" customFormat="1" ht="20.25">
      <c r="A73" s="4" t="s">
        <v>21</v>
      </c>
      <c r="B73" s="48">
        <f>B72+1</f>
        <v>58</v>
      </c>
      <c r="C73" s="9" t="s">
        <v>106</v>
      </c>
      <c r="D73" s="9" t="s">
        <v>36</v>
      </c>
      <c r="E73" s="10" t="s">
        <v>130</v>
      </c>
      <c r="F73" s="79" t="s">
        <v>23</v>
      </c>
      <c r="G73" s="116">
        <f>ROUND(0.3*0.8*(26+33),1)</f>
        <v>14.2</v>
      </c>
    </row>
    <row r="74" spans="1:7" s="4" customFormat="1" ht="20.25">
      <c r="A74" s="4" t="s">
        <v>21</v>
      </c>
      <c r="B74" s="48">
        <f>B73+1</f>
        <v>59</v>
      </c>
      <c r="C74" s="9" t="s">
        <v>122</v>
      </c>
      <c r="D74" s="9" t="s">
        <v>61</v>
      </c>
      <c r="E74" s="10" t="s">
        <v>138</v>
      </c>
      <c r="F74" s="11" t="s">
        <v>24</v>
      </c>
      <c r="G74" s="52">
        <f>ROUND((55.5+150)*1.4,1)</f>
        <v>287.7</v>
      </c>
    </row>
    <row r="75" spans="1:7" s="4" customFormat="1" ht="20.25">
      <c r="A75" s="4" t="s">
        <v>21</v>
      </c>
      <c r="B75" s="48">
        <f>B74+1</f>
        <v>60</v>
      </c>
      <c r="C75" s="9" t="s">
        <v>123</v>
      </c>
      <c r="D75" s="9" t="s">
        <v>61</v>
      </c>
      <c r="E75" s="10" t="s">
        <v>62</v>
      </c>
      <c r="F75" s="11" t="s">
        <v>24</v>
      </c>
      <c r="G75" s="52">
        <f>G74</f>
        <v>287.7</v>
      </c>
    </row>
    <row r="76" spans="1:7" s="3" customFormat="1" ht="9.75">
      <c r="A76" s="3" t="s">
        <v>20</v>
      </c>
      <c r="B76" s="47" t="s">
        <v>166</v>
      </c>
      <c r="C76" s="84" t="s">
        <v>167</v>
      </c>
      <c r="D76" s="85"/>
      <c r="E76" s="85"/>
      <c r="F76" s="85"/>
      <c r="G76" s="91"/>
    </row>
    <row r="77" spans="1:7" s="3" customFormat="1" ht="9.75">
      <c r="A77" s="3" t="s">
        <v>20</v>
      </c>
      <c r="B77" s="47" t="s">
        <v>168</v>
      </c>
      <c r="C77" s="84" t="s">
        <v>2</v>
      </c>
      <c r="D77" s="85"/>
      <c r="E77" s="85"/>
      <c r="F77" s="85"/>
      <c r="G77" s="91"/>
    </row>
    <row r="78" spans="1:7" s="4" customFormat="1" ht="9.75">
      <c r="A78" s="4" t="s">
        <v>21</v>
      </c>
      <c r="B78" s="48">
        <f>B75+1</f>
        <v>61</v>
      </c>
      <c r="C78" s="9" t="s">
        <v>124</v>
      </c>
      <c r="D78" s="9" t="s">
        <v>185</v>
      </c>
      <c r="E78" s="10" t="s">
        <v>64</v>
      </c>
      <c r="F78" s="11" t="s">
        <v>26</v>
      </c>
      <c r="G78" s="49">
        <v>0.12</v>
      </c>
    </row>
    <row r="79" spans="1:7" s="4" customFormat="1" ht="9.75">
      <c r="A79" s="4" t="s">
        <v>21</v>
      </c>
      <c r="B79" s="48">
        <f>B78+1</f>
        <v>62</v>
      </c>
      <c r="C79" s="9" t="s">
        <v>93</v>
      </c>
      <c r="D79" s="9" t="s">
        <v>32</v>
      </c>
      <c r="E79" s="10" t="s">
        <v>33</v>
      </c>
      <c r="F79" s="11" t="s">
        <v>24</v>
      </c>
      <c r="G79" s="49">
        <v>30</v>
      </c>
    </row>
    <row r="80" spans="1:7" s="3" customFormat="1" ht="9.75">
      <c r="A80" s="3" t="s">
        <v>20</v>
      </c>
      <c r="B80" s="47" t="s">
        <v>169</v>
      </c>
      <c r="C80" s="84" t="s">
        <v>65</v>
      </c>
      <c r="D80" s="85"/>
      <c r="E80" s="85"/>
      <c r="F80" s="85"/>
      <c r="G80" s="91"/>
    </row>
    <row r="81" spans="1:7" s="4" customFormat="1" ht="20.25">
      <c r="A81" s="4" t="s">
        <v>21</v>
      </c>
      <c r="B81" s="48">
        <f>B79+1</f>
        <v>63</v>
      </c>
      <c r="C81" s="62" t="s">
        <v>125</v>
      </c>
      <c r="D81" s="62" t="s">
        <v>66</v>
      </c>
      <c r="E81" s="72" t="s">
        <v>128</v>
      </c>
      <c r="F81" s="73" t="s">
        <v>24</v>
      </c>
      <c r="G81" s="117">
        <f>733-11.5*6.5</f>
        <v>658.25</v>
      </c>
    </row>
    <row r="82" spans="2:7" s="4" customFormat="1" ht="20.25">
      <c r="B82" s="55">
        <f aca="true" t="shared" si="3" ref="B82:B87">B81+1</f>
        <v>64</v>
      </c>
      <c r="C82" s="66" t="s">
        <v>252</v>
      </c>
      <c r="D82" s="66"/>
      <c r="E82" s="41" t="s">
        <v>251</v>
      </c>
      <c r="F82" s="31" t="s">
        <v>24</v>
      </c>
      <c r="G82" s="32">
        <v>76</v>
      </c>
    </row>
    <row r="83" spans="2:7" s="4" customFormat="1" ht="20.25">
      <c r="B83" s="55">
        <f t="shared" si="3"/>
        <v>65</v>
      </c>
      <c r="C83" s="66" t="s">
        <v>249</v>
      </c>
      <c r="D83" s="66"/>
      <c r="E83" s="41" t="s">
        <v>250</v>
      </c>
      <c r="F83" s="31" t="s">
        <v>24</v>
      </c>
      <c r="G83" s="32">
        <v>62</v>
      </c>
    </row>
    <row r="84" spans="2:7" s="4" customFormat="1" ht="9.75">
      <c r="B84" s="55">
        <f t="shared" si="3"/>
        <v>66</v>
      </c>
      <c r="C84" s="9" t="s">
        <v>92</v>
      </c>
      <c r="D84" s="66"/>
      <c r="E84" s="41" t="s">
        <v>248</v>
      </c>
      <c r="F84" s="31" t="s">
        <v>27</v>
      </c>
      <c r="G84" s="32">
        <v>1</v>
      </c>
    </row>
    <row r="85" spans="2:7" s="4" customFormat="1" ht="9.75">
      <c r="B85" s="55">
        <f t="shared" si="3"/>
        <v>67</v>
      </c>
      <c r="C85" s="66" t="s">
        <v>246</v>
      </c>
      <c r="D85" s="66"/>
      <c r="E85" s="41" t="s">
        <v>247</v>
      </c>
      <c r="F85" s="31" t="s">
        <v>25</v>
      </c>
      <c r="G85" s="32">
        <v>42</v>
      </c>
    </row>
    <row r="86" spans="2:7" s="4" customFormat="1" ht="9.75">
      <c r="B86" s="55">
        <f t="shared" si="3"/>
        <v>68</v>
      </c>
      <c r="C86" s="66" t="s">
        <v>245</v>
      </c>
      <c r="D86" s="66"/>
      <c r="E86" s="41" t="s">
        <v>244</v>
      </c>
      <c r="F86" s="31" t="s">
        <v>25</v>
      </c>
      <c r="G86" s="32">
        <v>42</v>
      </c>
    </row>
    <row r="87" spans="2:7" s="4" customFormat="1" ht="9.75">
      <c r="B87" s="55">
        <f t="shared" si="3"/>
        <v>69</v>
      </c>
      <c r="C87" s="66" t="s">
        <v>242</v>
      </c>
      <c r="D87" s="66"/>
      <c r="E87" s="41" t="s">
        <v>243</v>
      </c>
      <c r="F87" s="31" t="s">
        <v>25</v>
      </c>
      <c r="G87" s="32">
        <v>94</v>
      </c>
    </row>
    <row r="88" spans="1:7" s="3" customFormat="1" ht="9.75">
      <c r="A88" s="3" t="s">
        <v>20</v>
      </c>
      <c r="B88" s="47" t="s">
        <v>170</v>
      </c>
      <c r="C88" s="84" t="s">
        <v>34</v>
      </c>
      <c r="D88" s="85"/>
      <c r="E88" s="85"/>
      <c r="F88" s="85"/>
      <c r="G88" s="91"/>
    </row>
    <row r="89" spans="1:7" s="4" customFormat="1" ht="20.25">
      <c r="A89" s="4" t="s">
        <v>21</v>
      </c>
      <c r="B89" s="48">
        <f>B87+1</f>
        <v>70</v>
      </c>
      <c r="C89" s="9" t="s">
        <v>98</v>
      </c>
      <c r="D89" s="9" t="s">
        <v>191</v>
      </c>
      <c r="E89" s="10" t="s">
        <v>127</v>
      </c>
      <c r="F89" s="11" t="s">
        <v>23</v>
      </c>
      <c r="G89" s="49">
        <f>410*0.4+69*2+12*5</f>
        <v>362</v>
      </c>
    </row>
    <row r="90" spans="2:7" s="4" customFormat="1" ht="40.5">
      <c r="B90" s="55">
        <f>B89+1</f>
        <v>71</v>
      </c>
      <c r="C90" s="9" t="s">
        <v>236</v>
      </c>
      <c r="D90" s="9" t="s">
        <v>35</v>
      </c>
      <c r="E90" s="10" t="s">
        <v>281</v>
      </c>
      <c r="F90" s="11" t="s">
        <v>23</v>
      </c>
      <c r="G90" s="49">
        <f>69*2-19+12*2</f>
        <v>143</v>
      </c>
    </row>
    <row r="91" spans="1:7" s="4" customFormat="1" ht="20.25">
      <c r="A91" s="4" t="s">
        <v>21</v>
      </c>
      <c r="B91" s="48">
        <f>B90+1</f>
        <v>72</v>
      </c>
      <c r="C91" s="9" t="s">
        <v>126</v>
      </c>
      <c r="D91" s="9" t="s">
        <v>191</v>
      </c>
      <c r="E91" s="10" t="s">
        <v>129</v>
      </c>
      <c r="F91" s="11" t="s">
        <v>23</v>
      </c>
      <c r="G91" s="49">
        <v>50</v>
      </c>
    </row>
    <row r="92" spans="2:7" s="3" customFormat="1" ht="9.75">
      <c r="B92" s="47" t="s">
        <v>171</v>
      </c>
      <c r="C92" s="84" t="s">
        <v>273</v>
      </c>
      <c r="D92" s="85"/>
      <c r="E92" s="85"/>
      <c r="F92" s="85"/>
      <c r="G92" s="91"/>
    </row>
    <row r="93" spans="2:7" s="3" customFormat="1" ht="9.75">
      <c r="B93" s="118">
        <f>B91+1</f>
        <v>73</v>
      </c>
      <c r="C93" s="9" t="s">
        <v>225</v>
      </c>
      <c r="D93" s="9" t="s">
        <v>226</v>
      </c>
      <c r="E93" s="10" t="s">
        <v>227</v>
      </c>
      <c r="F93" s="11" t="s">
        <v>23</v>
      </c>
      <c r="G93" s="32">
        <f>(69+7.5)*0.5*0.5</f>
        <v>19.125</v>
      </c>
    </row>
    <row r="94" spans="2:7" s="3" customFormat="1" ht="9.75">
      <c r="B94" s="118">
        <f>B93+1</f>
        <v>74</v>
      </c>
      <c r="C94" s="9" t="s">
        <v>228</v>
      </c>
      <c r="D94" s="9" t="s">
        <v>226</v>
      </c>
      <c r="E94" s="10" t="s">
        <v>229</v>
      </c>
      <c r="F94" s="11" t="s">
        <v>25</v>
      </c>
      <c r="G94" s="32">
        <f>5*1.5</f>
        <v>7.5</v>
      </c>
    </row>
    <row r="95" spans="2:7" s="3" customFormat="1" ht="20.25">
      <c r="B95" s="118">
        <f>B94+1</f>
        <v>75</v>
      </c>
      <c r="C95" s="9" t="s">
        <v>230</v>
      </c>
      <c r="D95" s="9" t="s">
        <v>226</v>
      </c>
      <c r="E95" s="10" t="s">
        <v>234</v>
      </c>
      <c r="F95" s="11" t="s">
        <v>25</v>
      </c>
      <c r="G95" s="32">
        <f>23+17+2+4+19+1+3</f>
        <v>69</v>
      </c>
    </row>
    <row r="96" spans="2:7" s="3" customFormat="1" ht="20.25">
      <c r="B96" s="118">
        <f>B95+1</f>
        <v>76</v>
      </c>
      <c r="C96" s="9" t="s">
        <v>223</v>
      </c>
      <c r="D96" s="9" t="s">
        <v>226</v>
      </c>
      <c r="E96" s="10" t="s">
        <v>224</v>
      </c>
      <c r="F96" s="11" t="s">
        <v>27</v>
      </c>
      <c r="G96" s="32">
        <v>5</v>
      </c>
    </row>
    <row r="97" spans="2:7" s="3" customFormat="1" ht="20.25">
      <c r="B97" s="118">
        <f>B96+1</f>
        <v>77</v>
      </c>
      <c r="C97" s="9" t="s">
        <v>231</v>
      </c>
      <c r="D97" s="9" t="s">
        <v>226</v>
      </c>
      <c r="E97" s="10" t="s">
        <v>232</v>
      </c>
      <c r="F97" s="11" t="s">
        <v>233</v>
      </c>
      <c r="G97" s="32">
        <v>5</v>
      </c>
    </row>
    <row r="98" spans="2:7" s="3" customFormat="1" ht="20.25">
      <c r="B98" s="118">
        <f>B97+1</f>
        <v>78</v>
      </c>
      <c r="C98" s="9" t="s">
        <v>237</v>
      </c>
      <c r="D98" s="110"/>
      <c r="E98" s="10" t="s">
        <v>238</v>
      </c>
      <c r="F98" s="11" t="s">
        <v>27</v>
      </c>
      <c r="G98" s="32">
        <v>2</v>
      </c>
    </row>
    <row r="99" spans="2:7" s="3" customFormat="1" ht="9.75">
      <c r="B99" s="47" t="s">
        <v>171</v>
      </c>
      <c r="C99" s="84" t="s">
        <v>276</v>
      </c>
      <c r="D99" s="88"/>
      <c r="E99" s="85"/>
      <c r="F99" s="85"/>
      <c r="G99" s="91"/>
    </row>
    <row r="100" spans="2:7" s="3" customFormat="1" ht="20.25">
      <c r="B100" s="118">
        <f>B98+1</f>
        <v>79</v>
      </c>
      <c r="C100" s="106" t="s">
        <v>277</v>
      </c>
      <c r="D100" s="108"/>
      <c r="E100" s="107" t="s">
        <v>278</v>
      </c>
      <c r="F100" s="33" t="s">
        <v>25</v>
      </c>
      <c r="G100" s="119">
        <f>109-22</f>
        <v>87</v>
      </c>
    </row>
    <row r="101" spans="2:7" s="3" customFormat="1" ht="20.25">
      <c r="B101" s="118">
        <f>B100+1</f>
        <v>80</v>
      </c>
      <c r="C101" s="106" t="s">
        <v>279</v>
      </c>
      <c r="D101" s="108"/>
      <c r="E101" s="107" t="s">
        <v>280</v>
      </c>
      <c r="F101" s="33" t="s">
        <v>235</v>
      </c>
      <c r="G101" s="119">
        <v>4</v>
      </c>
    </row>
    <row r="102" spans="1:7" s="3" customFormat="1" ht="9.75">
      <c r="A102" s="3" t="s">
        <v>20</v>
      </c>
      <c r="B102" s="47" t="s">
        <v>172</v>
      </c>
      <c r="C102" s="84" t="s">
        <v>67</v>
      </c>
      <c r="D102" s="85"/>
      <c r="E102" s="85"/>
      <c r="F102" s="85"/>
      <c r="G102" s="91"/>
    </row>
    <row r="103" spans="1:10" s="4" customFormat="1" ht="9.75">
      <c r="A103" s="4" t="s">
        <v>21</v>
      </c>
      <c r="B103" s="48">
        <f>B101+1</f>
        <v>81</v>
      </c>
      <c r="C103" s="9" t="s">
        <v>139</v>
      </c>
      <c r="D103" s="9" t="s">
        <v>186</v>
      </c>
      <c r="E103" s="10" t="s">
        <v>187</v>
      </c>
      <c r="F103" s="11" t="s">
        <v>24</v>
      </c>
      <c r="G103" s="120">
        <f>(30+20)*8.2</f>
        <v>409.99999999999994</v>
      </c>
      <c r="J103" s="96"/>
    </row>
    <row r="104" spans="1:7" s="4" customFormat="1" ht="9.75">
      <c r="A104" s="4" t="s">
        <v>21</v>
      </c>
      <c r="B104" s="48">
        <f>B103+1</f>
        <v>82</v>
      </c>
      <c r="C104" s="9" t="s">
        <v>140</v>
      </c>
      <c r="D104" s="9" t="s">
        <v>190</v>
      </c>
      <c r="E104" s="10" t="s">
        <v>188</v>
      </c>
      <c r="F104" s="11" t="s">
        <v>24</v>
      </c>
      <c r="G104" s="120">
        <f>ROUND(99.31*7.1-(6+9)*6.6,2)</f>
        <v>606.1</v>
      </c>
    </row>
    <row r="105" spans="1:7" s="4" customFormat="1" ht="9.75">
      <c r="A105" s="4" t="s">
        <v>21</v>
      </c>
      <c r="B105" s="48">
        <f>B104+1</f>
        <v>83</v>
      </c>
      <c r="C105" s="9" t="s">
        <v>141</v>
      </c>
      <c r="D105" s="9" t="s">
        <v>189</v>
      </c>
      <c r="E105" s="10" t="s">
        <v>68</v>
      </c>
      <c r="F105" s="11" t="s">
        <v>24</v>
      </c>
      <c r="G105" s="120">
        <f>ROUND(99.31*6.6-2*2*6,2)</f>
        <v>631.45</v>
      </c>
    </row>
    <row r="106" spans="1:7" s="3" customFormat="1" ht="9.75">
      <c r="A106" s="3" t="s">
        <v>20</v>
      </c>
      <c r="B106" s="47" t="s">
        <v>173</v>
      </c>
      <c r="C106" s="84" t="s">
        <v>69</v>
      </c>
      <c r="D106" s="85"/>
      <c r="E106" s="85"/>
      <c r="F106" s="85"/>
      <c r="G106" s="91"/>
    </row>
    <row r="107" spans="1:7" s="4" customFormat="1" ht="20.25">
      <c r="A107" s="4" t="s">
        <v>21</v>
      </c>
      <c r="B107" s="48">
        <f>B105+1</f>
        <v>84</v>
      </c>
      <c r="C107" s="9" t="s">
        <v>142</v>
      </c>
      <c r="D107" s="9" t="s">
        <v>70</v>
      </c>
      <c r="E107" s="10" t="s">
        <v>145</v>
      </c>
      <c r="F107" s="11" t="s">
        <v>24</v>
      </c>
      <c r="G107" s="49">
        <f>G108</f>
        <v>638.48</v>
      </c>
    </row>
    <row r="108" spans="1:7" s="4" customFormat="1" ht="20.25">
      <c r="A108" s="4" t="s">
        <v>21</v>
      </c>
      <c r="B108" s="48">
        <f>B107+1</f>
        <v>85</v>
      </c>
      <c r="C108" s="9" t="s">
        <v>143</v>
      </c>
      <c r="D108" s="9" t="s">
        <v>71</v>
      </c>
      <c r="E108" s="10" t="s">
        <v>72</v>
      </c>
      <c r="F108" s="11" t="s">
        <v>24</v>
      </c>
      <c r="G108" s="49">
        <f>ROUND(99.31*6.55-2*6*1,2)</f>
        <v>638.48</v>
      </c>
    </row>
    <row r="109" spans="1:7" s="4" customFormat="1" ht="20.25">
      <c r="A109" s="4" t="s">
        <v>21</v>
      </c>
      <c r="B109" s="48">
        <f>B108+1</f>
        <v>86</v>
      </c>
      <c r="C109" s="9" t="s">
        <v>144</v>
      </c>
      <c r="D109" s="9" t="s">
        <v>70</v>
      </c>
      <c r="E109" s="10" t="s">
        <v>145</v>
      </c>
      <c r="F109" s="11" t="s">
        <v>24</v>
      </c>
      <c r="G109" s="49">
        <f>G110</f>
        <v>645</v>
      </c>
    </row>
    <row r="110" spans="1:7" s="4" customFormat="1" ht="9.75">
      <c r="A110" s="4" t="s">
        <v>21</v>
      </c>
      <c r="B110" s="48">
        <f>B109+1</f>
        <v>87</v>
      </c>
      <c r="C110" s="9" t="s">
        <v>116</v>
      </c>
      <c r="D110" s="9" t="s">
        <v>50</v>
      </c>
      <c r="E110" s="10" t="s">
        <v>73</v>
      </c>
      <c r="F110" s="11" t="s">
        <v>24</v>
      </c>
      <c r="G110" s="49">
        <f>770-125</f>
        <v>645</v>
      </c>
    </row>
    <row r="111" spans="1:7" s="3" customFormat="1" ht="9.75">
      <c r="A111" s="3" t="s">
        <v>20</v>
      </c>
      <c r="B111" s="47" t="s">
        <v>174</v>
      </c>
      <c r="C111" s="87" t="s">
        <v>3</v>
      </c>
      <c r="D111" s="88"/>
      <c r="E111" s="88"/>
      <c r="F111" s="85"/>
      <c r="G111" s="91"/>
    </row>
    <row r="112" spans="1:7" s="4" customFormat="1" ht="9.75">
      <c r="A112" s="4" t="s">
        <v>21</v>
      </c>
      <c r="B112" s="48">
        <f>B110+1</f>
        <v>88</v>
      </c>
      <c r="C112" s="9" t="s">
        <v>140</v>
      </c>
      <c r="D112" s="9" t="s">
        <v>190</v>
      </c>
      <c r="E112" s="10" t="s">
        <v>188</v>
      </c>
      <c r="F112" s="11" t="s">
        <v>24</v>
      </c>
      <c r="G112" s="49">
        <v>15</v>
      </c>
    </row>
    <row r="113" spans="2:7" s="4" customFormat="1" ht="20.25">
      <c r="B113" s="48">
        <f>B112+1</f>
        <v>89</v>
      </c>
      <c r="C113" s="9" t="s">
        <v>143</v>
      </c>
      <c r="D113" s="9" t="s">
        <v>71</v>
      </c>
      <c r="E113" s="10" t="s">
        <v>72</v>
      </c>
      <c r="F113" s="11" t="s">
        <v>24</v>
      </c>
      <c r="G113" s="49">
        <v>13</v>
      </c>
    </row>
    <row r="114" spans="2:7" s="4" customFormat="1" ht="20.25">
      <c r="B114" s="48">
        <f>B113+1</f>
        <v>90</v>
      </c>
      <c r="C114" s="9" t="s">
        <v>142</v>
      </c>
      <c r="D114" s="9" t="s">
        <v>70</v>
      </c>
      <c r="E114" s="10" t="s">
        <v>145</v>
      </c>
      <c r="F114" s="11" t="s">
        <v>24</v>
      </c>
      <c r="G114" s="49">
        <v>13</v>
      </c>
    </row>
    <row r="115" spans="1:7" s="4" customFormat="1" ht="9.75">
      <c r="A115" s="4" t="s">
        <v>21</v>
      </c>
      <c r="B115" s="48">
        <f>B114+1</f>
        <v>91</v>
      </c>
      <c r="C115" s="62" t="s">
        <v>116</v>
      </c>
      <c r="D115" s="62" t="s">
        <v>74</v>
      </c>
      <c r="E115" s="72" t="s">
        <v>213</v>
      </c>
      <c r="F115" s="73" t="s">
        <v>24</v>
      </c>
      <c r="G115" s="121">
        <v>13</v>
      </c>
    </row>
    <row r="116" spans="2:8" s="4" customFormat="1" ht="20.25">
      <c r="B116" s="48">
        <f>B115+1</f>
        <v>92</v>
      </c>
      <c r="C116" s="66" t="s">
        <v>239</v>
      </c>
      <c r="D116" s="66"/>
      <c r="E116" s="41" t="s">
        <v>260</v>
      </c>
      <c r="F116" s="31" t="s">
        <v>24</v>
      </c>
      <c r="G116" s="32">
        <v>20</v>
      </c>
      <c r="H116" s="3"/>
    </row>
    <row r="117" spans="1:7" s="3" customFormat="1" ht="9.75">
      <c r="A117" s="3" t="s">
        <v>20</v>
      </c>
      <c r="B117" s="47" t="s">
        <v>175</v>
      </c>
      <c r="C117" s="84" t="s">
        <v>75</v>
      </c>
      <c r="D117" s="85"/>
      <c r="E117" s="85"/>
      <c r="F117" s="85"/>
      <c r="G117" s="91"/>
    </row>
    <row r="118" spans="1:7" s="4" customFormat="1" ht="20.25">
      <c r="A118" s="4" t="s">
        <v>21</v>
      </c>
      <c r="B118" s="48">
        <f>B115+1</f>
        <v>92</v>
      </c>
      <c r="C118" s="9" t="s">
        <v>146</v>
      </c>
      <c r="D118" s="34" t="s">
        <v>192</v>
      </c>
      <c r="E118" s="10" t="s">
        <v>76</v>
      </c>
      <c r="F118" s="11" t="s">
        <v>24</v>
      </c>
      <c r="G118" s="49">
        <v>95</v>
      </c>
    </row>
    <row r="119" spans="1:7" s="4" customFormat="1" ht="20.25">
      <c r="A119" s="4" t="s">
        <v>21</v>
      </c>
      <c r="B119" s="48">
        <f>B118+1</f>
        <v>93</v>
      </c>
      <c r="C119" s="9" t="s">
        <v>147</v>
      </c>
      <c r="D119" s="34" t="s">
        <v>192</v>
      </c>
      <c r="E119" s="10" t="s">
        <v>77</v>
      </c>
      <c r="F119" s="11" t="s">
        <v>24</v>
      </c>
      <c r="G119" s="49">
        <f>G118</f>
        <v>95</v>
      </c>
    </row>
    <row r="120" spans="1:7" s="3" customFormat="1" ht="9.75">
      <c r="A120" s="3" t="s">
        <v>20</v>
      </c>
      <c r="B120" s="47" t="s">
        <v>201</v>
      </c>
      <c r="C120" s="84" t="s">
        <v>78</v>
      </c>
      <c r="D120" s="85"/>
      <c r="E120" s="85"/>
      <c r="F120" s="85"/>
      <c r="G120" s="91"/>
    </row>
    <row r="121" spans="1:7" s="4" customFormat="1" ht="9.75">
      <c r="A121" s="4" t="s">
        <v>21</v>
      </c>
      <c r="B121" s="48">
        <f>B119+1</f>
        <v>94</v>
      </c>
      <c r="C121" s="62" t="s">
        <v>148</v>
      </c>
      <c r="D121" s="62" t="s">
        <v>79</v>
      </c>
      <c r="E121" s="72" t="s">
        <v>193</v>
      </c>
      <c r="F121" s="73" t="s">
        <v>25</v>
      </c>
      <c r="G121" s="121">
        <f>4+27+32</f>
        <v>63</v>
      </c>
    </row>
    <row r="122" spans="2:7" s="4" customFormat="1" ht="9.75">
      <c r="B122" s="55"/>
      <c r="C122" s="66" t="s">
        <v>241</v>
      </c>
      <c r="D122" s="66"/>
      <c r="E122" s="41" t="s">
        <v>258</v>
      </c>
      <c r="F122" s="31" t="s">
        <v>25</v>
      </c>
      <c r="G122" s="32">
        <f>12.6+39</f>
        <v>51.6</v>
      </c>
    </row>
    <row r="123" spans="2:7" s="4" customFormat="1" ht="9.75">
      <c r="B123" s="55"/>
      <c r="C123" s="66" t="s">
        <v>241</v>
      </c>
      <c r="D123" s="66"/>
      <c r="E123" s="41" t="s">
        <v>259</v>
      </c>
      <c r="F123" s="31" t="s">
        <v>25</v>
      </c>
      <c r="G123" s="32">
        <v>25.4</v>
      </c>
    </row>
    <row r="124" spans="1:7" s="3" customFormat="1" ht="9.75">
      <c r="A124" s="3" t="s">
        <v>20</v>
      </c>
      <c r="B124" s="47" t="s">
        <v>274</v>
      </c>
      <c r="C124" s="84" t="s">
        <v>80</v>
      </c>
      <c r="D124" s="85"/>
      <c r="E124" s="85"/>
      <c r="F124" s="85"/>
      <c r="G124" s="91"/>
    </row>
    <row r="125" spans="1:7" s="4" customFormat="1" ht="9.75">
      <c r="A125" s="4" t="s">
        <v>21</v>
      </c>
      <c r="B125" s="48">
        <f>B121+1</f>
        <v>95</v>
      </c>
      <c r="C125" s="9" t="s">
        <v>149</v>
      </c>
      <c r="D125" s="9" t="s">
        <v>82</v>
      </c>
      <c r="E125" s="10" t="s">
        <v>81</v>
      </c>
      <c r="F125" s="11" t="s">
        <v>24</v>
      </c>
      <c r="G125" s="49">
        <f>2*15*4</f>
        <v>120</v>
      </c>
    </row>
    <row r="126" spans="1:7" s="4" customFormat="1" ht="9.75">
      <c r="A126" s="4" t="s">
        <v>21</v>
      </c>
      <c r="B126" s="48">
        <f>B125+1</f>
        <v>96</v>
      </c>
      <c r="C126" s="9" t="s">
        <v>150</v>
      </c>
      <c r="D126" s="9" t="s">
        <v>82</v>
      </c>
      <c r="E126" s="10" t="s">
        <v>83</v>
      </c>
      <c r="F126" s="11" t="s">
        <v>24</v>
      </c>
      <c r="G126" s="49">
        <f>G125</f>
        <v>120</v>
      </c>
    </row>
    <row r="127" spans="1:7" s="3" customFormat="1" ht="9.75">
      <c r="A127" s="3" t="s">
        <v>20</v>
      </c>
      <c r="B127" s="47" t="s">
        <v>275</v>
      </c>
      <c r="C127" s="84" t="s">
        <v>84</v>
      </c>
      <c r="D127" s="85"/>
      <c r="E127" s="85"/>
      <c r="F127" s="85"/>
      <c r="G127" s="91"/>
    </row>
    <row r="128" spans="1:7" s="4" customFormat="1" ht="9.75">
      <c r="A128" s="4" t="s">
        <v>21</v>
      </c>
      <c r="B128" s="48">
        <f>B126+1</f>
        <v>97</v>
      </c>
      <c r="C128" s="9" t="s">
        <v>151</v>
      </c>
      <c r="D128" s="9" t="s">
        <v>85</v>
      </c>
      <c r="E128" s="10" t="s">
        <v>86</v>
      </c>
      <c r="F128" s="11" t="s">
        <v>27</v>
      </c>
      <c r="G128" s="49">
        <v>8</v>
      </c>
    </row>
    <row r="129" spans="1:7" s="4" customFormat="1" ht="9.75">
      <c r="A129" s="4" t="s">
        <v>21</v>
      </c>
      <c r="B129" s="48">
        <f>B128+1</f>
        <v>98</v>
      </c>
      <c r="C129" s="9" t="s">
        <v>152</v>
      </c>
      <c r="D129" s="9" t="s">
        <v>85</v>
      </c>
      <c r="E129" s="10" t="s">
        <v>153</v>
      </c>
      <c r="F129" s="11" t="s">
        <v>27</v>
      </c>
      <c r="G129" s="49">
        <v>8</v>
      </c>
    </row>
    <row r="130" spans="1:7" s="4" customFormat="1" ht="20.25">
      <c r="A130" s="4" t="s">
        <v>21</v>
      </c>
      <c r="B130" s="56">
        <f>B129+1</f>
        <v>99</v>
      </c>
      <c r="C130" s="57" t="s">
        <v>195</v>
      </c>
      <c r="D130" s="57" t="s">
        <v>87</v>
      </c>
      <c r="E130" s="58" t="s">
        <v>194</v>
      </c>
      <c r="F130" s="59" t="s">
        <v>24</v>
      </c>
      <c r="G130" s="122">
        <f>ROUND((36.5+87)*0.12*2+1*0.24+(34.5+7+26.5+3+35.5+60.7)*0.12,1)</f>
        <v>49.9</v>
      </c>
    </row>
    <row r="131" spans="9:11" ht="12.75">
      <c r="I131" s="35"/>
      <c r="K131" s="13"/>
    </row>
    <row r="132" spans="1:9" ht="12.75">
      <c r="A132" s="2"/>
      <c r="B132" s="2"/>
      <c r="C132" s="2"/>
      <c r="D132" s="2"/>
      <c r="E132" s="35"/>
      <c r="F132" s="36"/>
      <c r="G132" s="35"/>
      <c r="H132" s="38"/>
      <c r="I132" s="38"/>
    </row>
    <row r="133" spans="1:16" ht="12.75">
      <c r="A133" s="2"/>
      <c r="B133" s="2"/>
      <c r="C133" s="2"/>
      <c r="D133" s="2"/>
      <c r="E133" s="35"/>
      <c r="F133" s="39"/>
      <c r="G133" s="40"/>
      <c r="H133" s="38"/>
      <c r="I133" s="38"/>
      <c r="O133" s="24"/>
      <c r="P133" s="24"/>
    </row>
    <row r="134" spans="1:16" ht="12.75">
      <c r="A134" s="2"/>
      <c r="B134" s="2"/>
      <c r="C134" s="2"/>
      <c r="D134" s="2"/>
      <c r="E134" s="35"/>
      <c r="F134" s="39"/>
      <c r="G134" s="40"/>
      <c r="I134" s="35"/>
      <c r="O134" s="24"/>
      <c r="P134" s="24"/>
    </row>
    <row r="135" spans="3:8" ht="12.75">
      <c r="C135" s="93"/>
      <c r="D135" s="93"/>
      <c r="E135" s="93"/>
      <c r="F135" s="93"/>
      <c r="G135" s="35"/>
      <c r="H135" s="36"/>
    </row>
    <row r="136" spans="3:7" ht="12.75">
      <c r="C136" s="93"/>
      <c r="D136" s="93"/>
      <c r="E136" s="109"/>
      <c r="F136" s="94"/>
      <c r="G136" s="35"/>
    </row>
    <row r="137" spans="3:7" ht="12.75">
      <c r="C137" s="35"/>
      <c r="D137" s="110"/>
      <c r="E137" s="35"/>
      <c r="F137" s="36"/>
      <c r="G137" s="35"/>
    </row>
    <row r="138" spans="3:7" ht="12.75">
      <c r="C138" s="35"/>
      <c r="D138" s="110"/>
      <c r="E138" s="35"/>
      <c r="F138" s="36"/>
      <c r="G138" s="35"/>
    </row>
    <row r="139" spans="3:7" ht="12.75">
      <c r="C139" s="93"/>
      <c r="D139" s="93"/>
      <c r="E139" s="109"/>
      <c r="F139" s="94"/>
      <c r="G139" s="35"/>
    </row>
    <row r="140" spans="3:7" ht="12.75">
      <c r="C140" s="93"/>
      <c r="D140" s="93"/>
      <c r="E140" s="109"/>
      <c r="F140" s="94"/>
      <c r="G140" s="35"/>
    </row>
    <row r="141" spans="3:7" ht="12.75">
      <c r="C141" s="93"/>
      <c r="D141" s="93"/>
      <c r="E141" s="109"/>
      <c r="F141" s="94"/>
      <c r="G141" s="35"/>
    </row>
    <row r="142" spans="3:7" ht="12.75">
      <c r="C142" s="93"/>
      <c r="D142" s="93"/>
      <c r="E142" s="109"/>
      <c r="F142" s="94"/>
      <c r="G142" s="35"/>
    </row>
    <row r="143" spans="3:7" ht="12.75">
      <c r="C143" s="93"/>
      <c r="D143" s="93"/>
      <c r="E143" s="109"/>
      <c r="F143" s="94"/>
      <c r="G143" s="35"/>
    </row>
    <row r="144" spans="3:7" ht="12.75">
      <c r="C144" s="93"/>
      <c r="D144" s="110"/>
      <c r="E144" s="109"/>
      <c r="F144" s="94"/>
      <c r="G144" s="35"/>
    </row>
    <row r="145" spans="3:10" ht="12.75">
      <c r="C145" s="35"/>
      <c r="D145" s="110"/>
      <c r="E145" s="35"/>
      <c r="F145" s="36"/>
      <c r="G145" s="35"/>
      <c r="J145" s="25"/>
    </row>
    <row r="146" spans="3:10" ht="12.75">
      <c r="C146" s="35"/>
      <c r="D146" s="110"/>
      <c r="E146" s="35"/>
      <c r="F146" s="36"/>
      <c r="G146" s="35"/>
      <c r="J146" s="25"/>
    </row>
    <row r="147" spans="3:7" ht="12.75">
      <c r="C147" s="111"/>
      <c r="D147" s="110"/>
      <c r="E147" s="111"/>
      <c r="F147" s="112"/>
      <c r="G147" s="38"/>
    </row>
    <row r="148" spans="3:7" ht="12.75">
      <c r="C148" s="111"/>
      <c r="D148" s="110"/>
      <c r="E148" s="111"/>
      <c r="F148" s="112"/>
      <c r="G148" s="38"/>
    </row>
    <row r="149" spans="3:7" ht="12.75">
      <c r="C149" s="35"/>
      <c r="D149" s="110"/>
      <c r="E149" s="35"/>
      <c r="F149" s="36"/>
      <c r="G149" s="35"/>
    </row>
    <row r="150" spans="1:7" ht="12.75">
      <c r="A150" s="2"/>
      <c r="B150" s="2"/>
      <c r="C150" s="38"/>
      <c r="D150" s="38"/>
      <c r="E150" s="38"/>
      <c r="F150" s="38"/>
      <c r="G150" s="38"/>
    </row>
    <row r="151" spans="3:7" ht="12.75">
      <c r="C151" s="35"/>
      <c r="D151" s="110"/>
      <c r="E151" s="35"/>
      <c r="F151" s="36"/>
      <c r="G151" s="35"/>
    </row>
    <row r="152" spans="3:7" ht="12.75">
      <c r="C152" s="35"/>
      <c r="D152" s="110"/>
      <c r="E152" s="35"/>
      <c r="F152" s="36"/>
      <c r="G152" s="35"/>
    </row>
    <row r="153" spans="3:7" ht="12.75">
      <c r="C153" s="35"/>
      <c r="D153" s="110"/>
      <c r="E153" s="35"/>
      <c r="F153" s="36"/>
      <c r="G153" s="35"/>
    </row>
  </sheetData>
  <sheetProtection/>
  <mergeCells count="26">
    <mergeCell ref="C127:G127"/>
    <mergeCell ref="C117:G117"/>
    <mergeCell ref="C120:G120"/>
    <mergeCell ref="C124:G124"/>
    <mergeCell ref="C102:G102"/>
    <mergeCell ref="C106:G106"/>
    <mergeCell ref="C111:G111"/>
    <mergeCell ref="C88:G88"/>
    <mergeCell ref="C92:G92"/>
    <mergeCell ref="C99:G99"/>
    <mergeCell ref="C76:G76"/>
    <mergeCell ref="C77:G77"/>
    <mergeCell ref="C80:G80"/>
    <mergeCell ref="C57:G57"/>
    <mergeCell ref="C66:G66"/>
    <mergeCell ref="C69:G69"/>
    <mergeCell ref="C42:G42"/>
    <mergeCell ref="C49:G49"/>
    <mergeCell ref="C53:G53"/>
    <mergeCell ref="C22:G22"/>
    <mergeCell ref="C27:G27"/>
    <mergeCell ref="C36:G36"/>
    <mergeCell ref="B2:G2"/>
    <mergeCell ref="C4:G4"/>
    <mergeCell ref="C5:G5"/>
    <mergeCell ref="C9:G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Powiatowy Zarząd Dróg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1a do SIWZ - Arkusz cenowy</dc:title>
  <dc:subject/>
  <dc:creator>Wojciech Błażusiak - PZD Nowy Sącz</dc:creator>
  <cp:keywords/>
  <dc:description/>
  <cp:lastModifiedBy>Bartosz Gryglak</cp:lastModifiedBy>
  <cp:lastPrinted>2022-05-16T20:22:42Z</cp:lastPrinted>
  <dcterms:created xsi:type="dcterms:W3CDTF">2019-02-19T19:14:43Z</dcterms:created>
  <dcterms:modified xsi:type="dcterms:W3CDTF">2022-05-16T20:29:27Z</dcterms:modified>
  <cp:category/>
  <cp:version/>
  <cp:contentType/>
  <cp:contentStatus/>
</cp:coreProperties>
</file>